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606" activeTab="0"/>
  </bookViews>
  <sheets>
    <sheet name="PLANILHA QUADRA MODELO 3" sheetId="1" r:id="rId1"/>
    <sheet name="CRONOGRAMA FÍSICO FINANCEIRO" sheetId="2" r:id="rId2"/>
  </sheets>
  <definedNames>
    <definedName name="__Anonymous_Sheet_DB__1">'PLANILHA QUADRA MODELO 3'!$G$1:$G$64230</definedName>
    <definedName name="__Anonymous_Sheet_DB__2">'PLANILHA QUADRA MODELO 3'!$B$1:$J$64230</definedName>
    <definedName name="_xlnm._FilterDatabase" localSheetId="0" hidden="1">'PLANILHA QUADRA MODELO 3'!$G$1:$G$64230</definedName>
    <definedName name="_xlnm.Print_Area" localSheetId="1">'CRONOGRAMA FÍSICO FINANCEIRO'!$A$1:$AA$29</definedName>
    <definedName name="_xlnm.Print_Area" localSheetId="0">'PLANILHA QUADRA MODELO 3'!$A$1:$J$459</definedName>
    <definedName name="Excel_BuiltIn__FilterDatabase" localSheetId="0">'PLANILHA QUADRA MODELO 3'!$H$5:$J$8</definedName>
    <definedName name="Excel_BuiltIn_Print_Area" localSheetId="0">'PLANILHA QUADRA MODELO 3'!$A$1:$J$454</definedName>
    <definedName name="_xlnm.Print_Titles" localSheetId="0">'PLANILHA QUADRA MODELO 3'!$1:$5</definedName>
  </definedNames>
  <calcPr fullCalcOnLoad="1"/>
</workbook>
</file>

<file path=xl/sharedStrings.xml><?xml version="1.0" encoding="utf-8"?>
<sst xmlns="http://schemas.openxmlformats.org/spreadsheetml/2006/main" count="699" uniqueCount="536">
  <si>
    <t>ISS</t>
  </si>
  <si>
    <t>SERVIÇOS:Construção de quadra poliesportiva</t>
  </si>
  <si>
    <t>ITEM</t>
  </si>
  <si>
    <t>DESCRIÇÃO</t>
  </si>
  <si>
    <t>UNID.</t>
  </si>
  <si>
    <t>ANALISADO</t>
  </si>
  <si>
    <t>LOCAL DE INTERVENÇÃO</t>
  </si>
  <si>
    <t>QUANT.</t>
  </si>
  <si>
    <t>PREÇO UNITÁRIO</t>
  </si>
  <si>
    <t>TOTAL</t>
  </si>
  <si>
    <t>MEMÓRIA DE CALCULO</t>
  </si>
  <si>
    <t>010000</t>
  </si>
  <si>
    <t>INSTALAÇÃO DOS SERVIÇOS DE ENGENHARIA</t>
  </si>
  <si>
    <t>010001</t>
  </si>
  <si>
    <t>Locação dos serviços de engenharia: execução de gabarito</t>
  </si>
  <si>
    <t>M²</t>
  </si>
  <si>
    <t>28*18</t>
  </si>
  <si>
    <t>Área de projeção da quadra</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</si>
  <si>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</si>
  <si>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010003</t>
  </si>
  <si>
    <t>Fornecimento e colocação de placa dos serviços de engenharia em chapa galvanizada (3,00 X 1,50m)   -  Governo do Estado  -  (Ampliação e / ou Reforma acima de R$ 30.000,00)</t>
  </si>
  <si>
    <t>UN</t>
  </si>
  <si>
    <t>Rente ao muro de divisa da escola</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</si>
  <si>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</si>
  <si>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010004</t>
  </si>
  <si>
    <t>Limpeza do terreno, raspagem, capina e queima manual</t>
  </si>
  <si>
    <r>
      <t>M</t>
    </r>
    <r>
      <rPr>
        <vertAlign val="superscript"/>
        <sz val="14"/>
        <rFont val="Calibri"/>
        <family val="2"/>
      </rPr>
      <t>2</t>
    </r>
  </si>
  <si>
    <t>31*21+3*3</t>
  </si>
  <si>
    <t>Área de implantação da quadra</t>
  </si>
  <si>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</si>
  <si>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010006</t>
  </si>
  <si>
    <t>Barracão em madeira, piso cimentado e cobertura em telhas de fibrocimento ondulada</t>
  </si>
  <si>
    <t>3,3*3,3</t>
  </si>
  <si>
    <t>Local a ser definido com a fiscalização</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</si>
  <si>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</si>
  <si>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SUB-TOTAL =</t>
  </si>
  <si>
    <t>030000</t>
  </si>
  <si>
    <t>TRABALHOS EM TERRA</t>
  </si>
  <si>
    <t>030001</t>
  </si>
  <si>
    <t>Aterro Compactado manual, com soquete</t>
  </si>
  <si>
    <r>
      <t>M</t>
    </r>
    <r>
      <rPr>
        <vertAlign val="superscript"/>
        <sz val="14"/>
        <rFont val="Calibri"/>
        <family val="2"/>
      </rPr>
      <t>3</t>
    </r>
  </si>
  <si>
    <t>31*1,5*2*0,05+18*2*0,05+(2,35+1,36)*1,36*0,25+3,89*1,36*0,44</t>
  </si>
  <si>
    <t>Passeio  lateral e rampa</t>
  </si>
  <si>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</si>
  <si>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030002</t>
  </si>
  <si>
    <t>Escavação  manual de vala em solo de 1ª e 2ª categoria, profundidade em até 2,00m</t>
  </si>
  <si>
    <t>28*0,25*0,46*2+18*0,25*0,46*2+(18,6+3,02)*0,25*0,46*2+(4,46+2,25+2,41+2,25+2,41+0,2)*0,25*0,46+0,4*0,25*0,46*2+15,4*0,25*0,46*2+1,1*0,25*0,4*2+(3,75+1,66)*0,25*0,46+(2,58+3,74)*0,25*0,46+1,24*0,25*0,46+4,7*0,25*0,46+(2,11*2+0,18*3)*0,25*0,46+1,82*0,25*0,46+0,75*0,75*0,8*14+0,45*0,45*0,46*15</t>
  </si>
  <si>
    <t>Baldrames,blocos e coroamento</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</si>
  <si>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</si>
  <si>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</si>
  <si>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</si>
  <si>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3,14*1,3*1,3*1,7</t>
  </si>
  <si>
    <t>Reservatório de água pluvial</t>
  </si>
  <si>
    <t>Será medido pelo volume real escavado (m³).
O item remunera o fornecimento da mão-de-obra necessária para a escavação manual em solo, de primeira ou segunda categoria, em campo aberto.</t>
  </si>
  <si>
    <t>030005</t>
  </si>
  <si>
    <t>Reaterro manual de vala apiloado</t>
  </si>
  <si>
    <t>28*0,05*0,4*2+18*0,05*0,4*2+(18,6+3,02)*0,05*0,4*2+(4,46+2,25+2,41+2,25+2,41+0,2)*0,05*0,4+0,4*0,05*0,4*2+15,4*0,05*0,4*2+1,1*0,05*0,4*2+(3,75+1,66)*0,05*0,4+(2,58+3,74)*0,05*0,4+1,24*0,05*0,4+4,7*0,05*0,4+(2,11*2+0,18*3)*0,05*0,4+1,82*0,05*0,4+14*,05*,05*,7+15*,05*,05*,4</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</si>
  <si>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</si>
  <si>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030007</t>
  </si>
  <si>
    <t xml:space="preserve">Escavação manual de tubulão à céu aberto </t>
  </si>
  <si>
    <t>3,14*0,7*0,7/4*2*14</t>
  </si>
  <si>
    <t>Tubulão para pilares metálicos</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</si>
  <si>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</si>
  <si>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 xml:space="preserve"> </t>
  </si>
  <si>
    <t>040000</t>
  </si>
  <si>
    <t>SONDAGEM, FUNDAÇÕES, MUROS E CONTENÇÕES</t>
  </si>
  <si>
    <t>040001</t>
  </si>
  <si>
    <r>
      <t>Armadura de aço, CA 50, corte e dobra no canteiro</t>
    </r>
    <r>
      <rPr>
        <sz val="12"/>
        <rFont val="Calibri"/>
        <family val="2"/>
      </rPr>
      <t xml:space="preserve">                                                                                                                    </t>
    </r>
  </si>
  <si>
    <t>KG</t>
  </si>
  <si>
    <t>33,8*35</t>
  </si>
  <si>
    <t>Fundação</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</si>
  <si>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</si>
  <si>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040002</t>
  </si>
  <si>
    <t xml:space="preserve">Fôrma de madeira para fundação, com tábuas e sarrafos, 3 aproveitamentos e desforma </t>
  </si>
  <si>
    <t>28*0,4*4+18*0,4*4+21,62*0,4*4+(3,75+1,66)*0,4*2+15,4*0,4*6+(3,74+2,58)*0,4*2+1,24*0,4*2+4,7*0,4*2+1,82*0,4*2+4,22*0,4*2+0,7*0,4*4*14+15*0,4*4</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</si>
  <si>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</si>
  <si>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040003</t>
  </si>
  <si>
    <t>Concreto armado para fundação (incluindo fornecimento, transporte, lançamento, forma e desforma)</t>
  </si>
  <si>
    <t>3,14*1,3*1,3*0,08</t>
  </si>
  <si>
    <t>Laje reservatório subterrâneo</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</si>
  <si>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</si>
  <si>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</si>
  <si>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</si>
  <si>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</si>
  <si>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28*0,2*0,4*2+18*0,2*0,4*2+(18,6+3,02)*0,2*0,4*2+(4,46+2,25+2,41+2,25+2,41+0,2)*0,2*0,4+0,4*0,2*0,4*2+15,4*0,2*0,4*2+1,1*0,2*0,4*2+(3,75+1,66)*0,2*0,4+(2,58+3,74)*0,2*0,4+1,24*0,2*0,4+4,7*0,2*0,4+(2,11*2+0,18*3)*0,2*0,4+1,82*0,2*0,4+10,77+14*0,7*0,7*0,8+15*0,4*0,4*0,4</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</si>
  <si>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</si>
  <si>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040005</t>
  </si>
  <si>
    <t>Lastro de concreto (contra-piso) não estrutural impermeabilizado, E=6 cm</t>
  </si>
  <si>
    <t>28*0,25*2+18*0,25*2+(18,6+3,02)*0,25*2+(4,46+2,25+2,41+2,25+2,41+0,2)*0,25+0,4*0,25*2+15,4*0,25*2+1,1*0,25*2+(3,75+1,66)*0,25+(2,58+3,74)*0,25+1,24*0,25+4,7*0,25+(2,11*2+0,18*3)*0,25+1,82*0,25+14*0,7*0,7+15*0,4*0,4+1,3*1,3*3,14</t>
  </si>
  <si>
    <t>Será medido pela área onde será executado, na espessura mínima de 6cm (m²).
O item remunera o fornecimento de cimento, areia, pedra britada nº 1, 2, e a mão-de-obra necessária para o apiloamento do terreno e execução do lastro.</t>
  </si>
  <si>
    <t>040300</t>
  </si>
  <si>
    <t>Sondagem a percurssão</t>
  </si>
  <si>
    <t>040301</t>
  </si>
  <si>
    <t>Mobilização e desmobilização por equipamentos de sondagem a percussão d= 2 1/2"</t>
  </si>
  <si>
    <t>Mobilização</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</si>
  <si>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</si>
  <si>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</si>
  <si>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</si>
  <si>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M</t>
  </si>
  <si>
    <t>Mínmo de 3 furos de sondagem a serem executados no local de implantação da quadra.</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</si>
  <si>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</si>
  <si>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</si>
  <si>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</si>
  <si>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050005</t>
  </si>
  <si>
    <t>Concreto armado (incluindo fornecimento, transporte, lançamento, forma e desforma)</t>
  </si>
  <si>
    <t>0,15*0,15*1,5*16+22*0,15*0,15*0,5+0,18*0,2*6*3+0,2*0,2*4*3+0,15*0,15*10*0,5+5*0,15*0,15*1+1,3*1,3*0,08*3,14</t>
  </si>
  <si>
    <t>Pilares e pilaretes da superestrutura e tampa reservatório subterrâneo</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</si>
  <si>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</si>
  <si>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050009</t>
  </si>
  <si>
    <t>Laje pré-fabricada treliçada para piso, intereixo 50 cm e=25cm (capeamento 5 cm e elemento cerâmico 20 cm) sobrecarga mínima 300 Kgf / m²</t>
  </si>
  <si>
    <t>(4,46+2,25+2,41+2,4+2,46)*0,4+15,8*0,7+15,8*0,4+(2,11*2+0,2+0,36)*2,2+2,96*4,14+10,24*3,74-2,35*1,36-1,36*4,89+2,58*3,74</t>
  </si>
  <si>
    <t>Laje arquibancada, palco, instalações sanitárias, depósito e camarim</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</si>
  <si>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</si>
  <si>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060000</t>
  </si>
  <si>
    <t>ALVENARIA</t>
  </si>
  <si>
    <t>060100</t>
  </si>
  <si>
    <t>Execução de:</t>
  </si>
  <si>
    <t>060107</t>
  </si>
  <si>
    <t xml:space="preserve">Alvenaria de vedação com bloco de concreto, 14x19x39 cm, espessura da parede 14 cm, juntas de 10mm com argamassa mista de cimento, cal hidratada e areia sem peneirar traço 1:0,5:8 </t>
  </si>
  <si>
    <t>(28-4,7)*2*1,5+18*1,5+18*3+21,62*0,5*2+(3,75+1,66)*0,5+15,8*0,5+0,4*0,5*2+15,8*0,5+15,8*1+2,58*3+4,7*3*3+3,74*2,5+(4,22+0,56)*0,3+1,82*3+1,1*1*2-1,6*2*1,5+8,24*0,5+4,78*1+2,02*1</t>
  </si>
  <si>
    <t>Alvenaria conforme consta  em projeto</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</si>
  <si>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</si>
  <si>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070000</t>
  </si>
  <si>
    <t>COBERTURA E FORRO</t>
  </si>
  <si>
    <t>070100</t>
  </si>
  <si>
    <t xml:space="preserve">Fornecimento, transporte e colocação de telhas, tipo: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</si>
  <si>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</si>
  <si>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</si>
  <si>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</si>
  <si>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070403</t>
  </si>
  <si>
    <t>Calha de chapa galvanizada, nº 24 desenvolvimento 60 cm</t>
  </si>
  <si>
    <t>28*2</t>
  </si>
  <si>
    <t>Nas duas águas da cobertura</t>
  </si>
  <si>
    <t>070500</t>
  </si>
  <si>
    <t>Condutor de água pluvial e buzinotes</t>
  </si>
  <si>
    <t>Será medido por comprimento instalado (m).
O item remunera o fornecimento de materiais e mão de obra para instalação de tubo na cor branca (condutores) verticais e executadas com PVC reforçado com  as juntas com bolsa e anel de borracha, inclusive materiais acessórios para emendas, suportes, junção em outras peças, vedação e fixação.</t>
  </si>
  <si>
    <t>070502</t>
  </si>
  <si>
    <t>Condutor de água (tubo de PVC branco, com conexões, ponta bolsa e virola, diâmetro da seção 100mm)</t>
  </si>
  <si>
    <t>8*6</t>
  </si>
  <si>
    <t>8 descidas de água pluvial da cobertura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</si>
  <si>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</si>
  <si>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</si>
  <si>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</si>
  <si>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</si>
  <si>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</si>
  <si>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</si>
  <si>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</si>
  <si>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080105</t>
  </si>
  <si>
    <t>Torneira de boia para Caixa d'água Ø 32mm.</t>
  </si>
  <si>
    <t>Reservatório superior</t>
  </si>
  <si>
    <t>Será medido por unidade de torneira instalada (un).
O item remunera o fornecimento e a instalação da torneira de bóia, com diâmetro nominal de 1", inclusive material de vedação.</t>
  </si>
  <si>
    <t>080200</t>
  </si>
  <si>
    <t>Fornecimento e instalação de:</t>
  </si>
  <si>
    <t>080201</t>
  </si>
  <si>
    <t>Válvula de descarga metálica com registro interno e canopla,D: 32mm (1 1/4") ou 40mm (1 1/2)</t>
  </si>
  <si>
    <t>Instlalação sanitária</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</si>
  <si>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</si>
  <si>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080207</t>
  </si>
  <si>
    <t>Lavatório de louça, sem coluna completa para fixação direta.</t>
  </si>
  <si>
    <t>Instalação sanitária PNE</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</si>
  <si>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</si>
  <si>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</si>
  <si>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</si>
  <si>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</si>
  <si>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</si>
  <si>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</si>
  <si>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</si>
  <si>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080407</t>
  </si>
  <si>
    <t>Com canopla diâmetro 20mm (3/4") - (acabamento cromado)</t>
  </si>
  <si>
    <t>Bebedouro</t>
  </si>
  <si>
    <t>080410</t>
  </si>
  <si>
    <t>Com canopla diâmetro 40mm (1 1/2") - (acabamento cromado)</t>
  </si>
  <si>
    <t xml:space="preserve">Instlalação sanitária </t>
  </si>
  <si>
    <t>080500</t>
  </si>
  <si>
    <t>Serviços de fixação de:</t>
  </si>
  <si>
    <t>080600</t>
  </si>
  <si>
    <t>Fornecimento, transporte e instalação de:</t>
  </si>
  <si>
    <t>080601</t>
  </si>
  <si>
    <t>Conjunto elevatório motor-bomba (bomba centrífuga) de 3/4 HP</t>
  </si>
  <si>
    <t>Eletrobomba reservatório subterrâneo</t>
  </si>
  <si>
    <t xml:space="preserve">Será medido por unidade de conjunto motor-bomba instalado e testado de acordo com a vazão exigida em projeto (un).
O item remunera o fornecimento e instalação de conjunto motor-bomba centrífuga com multiestágio trifásico, potência de 13/4HP,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</si>
  <si>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</si>
  <si>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</si>
  <si>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</si>
  <si>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080705</t>
  </si>
  <si>
    <t>Tubo PVC soldável  25mm (com conexões), incluindo serviços de rasgo e enchimento de rasgo em alvenaria com argamassa para passagem de tubulação</t>
  </si>
  <si>
    <t>Alimentação instalação sanitária e bebedouro</t>
  </si>
  <si>
    <t>080707</t>
  </si>
  <si>
    <t>Tubo PVC soldável  40mm (com conexões), incluindo serviços de rasgo e enchimento de rasgo em alvenaria com argamassa para passagem de tubulação</t>
  </si>
  <si>
    <t>Alimentação instalação sanitária</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</si>
  <si>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</si>
  <si>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</si>
  <si>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</si>
  <si>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</si>
  <si>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</si>
  <si>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Instalaçao sanitária</t>
  </si>
  <si>
    <t>080805</t>
  </si>
  <si>
    <t xml:space="preserve">Em fibra de vidro cilíndrico com tampa, capacidade 5.000 litros </t>
  </si>
  <si>
    <t>Reservatório subterrâneo de água pluvial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</si>
  <si>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</si>
  <si>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</si>
  <si>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</si>
  <si>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</si>
  <si>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</si>
  <si>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</si>
  <si>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</si>
  <si>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</si>
  <si>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</si>
  <si>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</si>
  <si>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</si>
  <si>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</si>
  <si>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</si>
  <si>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</si>
  <si>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Instalação sanitária</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</si>
  <si>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</si>
  <si>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090000</t>
  </si>
  <si>
    <t>INSTALAÇÕES SANITÁRIAS</t>
  </si>
  <si>
    <t>090100</t>
  </si>
  <si>
    <t>090101</t>
  </si>
  <si>
    <t>Caixa de Inspeção ou passagem em alvenaria  60 X 60 X 60 cm, inclusive tampa em concreto, escavação, reaterro e bota-fora</t>
  </si>
  <si>
    <t>9 caixas drenagem pluvial, 1 caixas instalação sanitária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</si>
  <si>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</si>
  <si>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</si>
  <si>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</si>
  <si>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</si>
  <si>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</si>
  <si>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</si>
  <si>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Esgoto bebedouro e Instalações sanitárias</t>
  </si>
  <si>
    <t>090304</t>
  </si>
  <si>
    <t>Diâmetro de 100 mm</t>
  </si>
  <si>
    <t>Esgoto e drenagem água pluvial</t>
  </si>
  <si>
    <t>090305</t>
  </si>
  <si>
    <t>Diâmetro de 150 mm</t>
  </si>
  <si>
    <t>Extravassor do reservatório subterrâneo</t>
  </si>
  <si>
    <t>090400</t>
  </si>
  <si>
    <t>Outros:</t>
  </si>
  <si>
    <t>090500</t>
  </si>
  <si>
    <t>Fornecimento e instalação de caixa sifonada:</t>
  </si>
  <si>
    <t>090501</t>
  </si>
  <si>
    <t>Em PVC, com grelha quadrada/redonda,150x150x75mm</t>
  </si>
  <si>
    <t>Será medido por unidade caixa instalada (un).
O item remunera o fornecimento e instalação da caixa sifonada, em PVC rígido, de 150 x 150 x 75 mm, inclusive grelha metálica e o material necessário para sua ligação à rede de esgoto.</t>
  </si>
  <si>
    <t>INSTALAÇÃO ELÉTRICA</t>
  </si>
  <si>
    <t>100100</t>
  </si>
  <si>
    <t>Fornecimento e instalação de globo tipo drops:</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</si>
  <si>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</si>
  <si>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</si>
  <si>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inclusive materiais acessórios e a mão-de-obra necessária para a instalação da luminária; inclusive o fornecimento de lâmpada e reator e teste de funcionamento.</t>
  </si>
  <si>
    <t>100302</t>
  </si>
  <si>
    <t>Luminária fluorescente completa com 2 lâmpadas de 20W ou 16W, tipo calha de sobrepor</t>
  </si>
  <si>
    <t xml:space="preserve">Instalação sanitária,depósito </t>
  </si>
  <si>
    <t>100400</t>
  </si>
  <si>
    <t>Fornecimento e instalação interruptor e tomadas, inclusive placa:</t>
  </si>
  <si>
    <t>100401</t>
  </si>
  <si>
    <t>Tomada universal 2 P+T</t>
  </si>
  <si>
    <t>Bebedoruos, palco,depósito, instalação sanitária</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</si>
  <si>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</si>
  <si>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100403</t>
  </si>
  <si>
    <t xml:space="preserve">01 tecla simples 10A - 250V </t>
  </si>
  <si>
    <t>Luminárias e conjunto motobomba</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</si>
  <si>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</si>
  <si>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</si>
  <si>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</si>
  <si>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</si>
  <si>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</si>
  <si>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</si>
  <si>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QDC</t>
  </si>
  <si>
    <t>100503</t>
  </si>
  <si>
    <t>Bipolar de 10 a 50 A</t>
  </si>
  <si>
    <t>100506</t>
  </si>
  <si>
    <t>Disjuntor de proteção diferencial residual (DR), bipolar, tipo DIN, corrente nominal de 25a,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</si>
  <si>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</si>
  <si>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</si>
  <si>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</si>
  <si>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100602</t>
  </si>
  <si>
    <r>
      <t>Isolado de PVC seção 2,5 mm</t>
    </r>
    <r>
      <rPr>
        <b/>
        <vertAlign val="superscript"/>
        <sz val="12"/>
        <rFont val="Calibri"/>
        <family val="2"/>
      </rPr>
      <t xml:space="preserve">2 </t>
    </r>
  </si>
  <si>
    <t>(5*2*2+22*2+5*3*2+10*3*3+25*3)</t>
  </si>
  <si>
    <t>Luminárias e tomadas</t>
  </si>
  <si>
    <t>100603</t>
  </si>
  <si>
    <r>
      <t>Isolado de PVC seção 4,0 mm</t>
    </r>
    <r>
      <rPr>
        <b/>
        <vertAlign val="superscript"/>
        <sz val="12"/>
        <rFont val="Calibri"/>
        <family val="2"/>
      </rPr>
      <t>2</t>
    </r>
  </si>
  <si>
    <t>(28*2*2+7*2+25*2+56*2)</t>
  </si>
  <si>
    <t xml:space="preserve">Refletores e alimentação eletrobomba </t>
  </si>
  <si>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</si>
  <si>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</si>
  <si>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</si>
  <si>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</si>
  <si>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2"/>
        <rFont val="Calibri"/>
        <family val="2"/>
      </rPr>
      <t>2</t>
    </r>
  </si>
  <si>
    <t>45*3</t>
  </si>
  <si>
    <t>Entrada de energia ao QDC</t>
  </si>
  <si>
    <t>100707</t>
  </si>
  <si>
    <t xml:space="preserve">Cobre nú # 10mm² para aterramento </t>
  </si>
  <si>
    <t>Aterramento QDC</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</si>
  <si>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</si>
  <si>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</si>
  <si>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</si>
  <si>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</si>
  <si>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</si>
  <si>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</si>
  <si>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28*2+7+25+56</t>
  </si>
  <si>
    <t>Circuitos dos refletores e alimentação eletrobomba</t>
  </si>
  <si>
    <t>100904</t>
  </si>
  <si>
    <t>Diâmetro 40mm (1 1/2")</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</si>
  <si>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</si>
  <si>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</si>
  <si>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</si>
  <si>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101002</t>
  </si>
  <si>
    <t>Diâmetro 25mm (3/4")</t>
  </si>
  <si>
    <t>Circuitos internos a quadra</t>
  </si>
  <si>
    <t>101202</t>
  </si>
  <si>
    <t>Caixa de passagem 4"x 2" sem placa</t>
  </si>
  <si>
    <t>Será medido por unidade de caixa instalada (un).
O item remunera o fornecimento e instalação de caixa estampada de 4" x 2", em chapa de aço nº 18, esmaltada à quente interna e externamente, com olhais para fixação dos eletrodutos e orelhas para fixação de espelho.</t>
  </si>
  <si>
    <t>101204</t>
  </si>
  <si>
    <t>Caixa octogonal p/ teto (laje maciça ou pré fabricada)</t>
  </si>
  <si>
    <t>Será medido por unidade de caixa instalada (un).
O item remunera o fornecimento e instalação de caixa estampada octogonal com fundo móvel de 4 "x 4", em chapa de aço nº 18, esmaltada à quente interna e externamente, com olhais para fixação dos eletrodutos e orelhas para fixação de espelho.</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</si>
  <si>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</si>
  <si>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</si>
  <si>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</si>
  <si>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</si>
  <si>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</si>
  <si>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</si>
  <si>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101404</t>
  </si>
  <si>
    <r>
      <t>Quadro de distribuição de luz em</t>
    </r>
    <r>
      <rPr>
        <b/>
        <u val="single"/>
        <sz val="12"/>
        <rFont val="Calibri"/>
        <family val="2"/>
      </rPr>
      <t xml:space="preserve"> </t>
    </r>
    <r>
      <rPr>
        <b/>
        <i/>
        <sz val="12"/>
        <rFont val="Calibri"/>
        <family val="2"/>
      </rPr>
      <t>chapa de aço de sobrepor ou embutir, até 20 divisões modulares</t>
    </r>
  </si>
  <si>
    <t>120000</t>
  </si>
  <si>
    <t>ESQUADRIAS METÁLICAS</t>
  </si>
  <si>
    <t>120100</t>
  </si>
  <si>
    <t>120101</t>
  </si>
  <si>
    <t>Passa prato / Porta / portão de ferro, completo</t>
  </si>
  <si>
    <t>0,8*2,1+1*2,1*2</t>
  </si>
  <si>
    <t>Instalação sanitária e depósito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</si>
  <si>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</si>
  <si>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120103</t>
  </si>
  <si>
    <t>Janela de ferro completa, colocação e acabamento basculante</t>
  </si>
  <si>
    <t>,8*1*4</t>
  </si>
  <si>
    <t>Depósito e instalação sanitária</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</si>
  <si>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</si>
  <si>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FERRAGENS</t>
  </si>
  <si>
    <t>Fornecimento e colocação de:</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</si>
  <si>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</si>
  <si>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</si>
  <si>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</si>
  <si>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</si>
  <si>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</si>
  <si>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</si>
  <si>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</si>
  <si>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</si>
  <si>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130204</t>
  </si>
  <si>
    <t>Corrimão duplo em tubo de aço galvanizado d = 1 1/2"- fixado em alvenaria</t>
  </si>
  <si>
    <t>3,81+2,43+1,56*8+1,7</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</si>
  <si>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</si>
  <si>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</si>
  <si>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</si>
  <si>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2,35+3,89+1,6*4</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</si>
  <si>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</si>
  <si>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</si>
  <si>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</si>
  <si>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(1,82*3*2+2,11*3*2)*2</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</si>
  <si>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</si>
  <si>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</si>
  <si>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</si>
  <si>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(28-4,7-1,6)*1,5*4+18*3+18*1,5*2+21,62*4*0,5+(3,75+1,66)*0,5*2+2,58*3+2,58*2,5*2+4,5*4*3+3,74*2,35*2+1,24*2,5+8,24*0,52+4,7*2*3+4,78*3*3+1,82*4+4,78*1,82+3,74*2,58-1,6*1,5+4,78*1+2,02*1-(1,82*3*2+2,11*3*2)*2</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</si>
  <si>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</si>
  <si>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140104</t>
  </si>
  <si>
    <t>Chapisco com argamassa 1:3 cimento e areia, a colher</t>
  </si>
  <si>
    <t>(28-4,7-1,6)*1,5*4+18*3+18*1,5*2+21,62*4*0,5+(3,75+1,66)*0,5*2+2,58*3+2,58*2,5*2+4,5*4*3+3,74*2,35*2+1,24*2,5+8,24*0,52+4,7*2*3+4,78*3*3+1,82*4+4,78*1,82+3,74*2,58-1,6*1,5+4,78*1+2,02*1</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</si>
  <si>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</si>
  <si>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</si>
  <si>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</si>
  <si>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</si>
  <si>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PISOS E RODAPÉS</t>
  </si>
  <si>
    <t>Fornecimento e assentamento de pisos, em:</t>
  </si>
  <si>
    <t>150104</t>
  </si>
  <si>
    <t>Revestimento com cerâmica aplicado em piso, acabamento esmaltado, ambiente interno, padrão extra, cor branca, dimensão da peça até 2.025cm², PEI V, assentamento com argamassa industrializada, inclusive rejuntamento</t>
  </si>
  <si>
    <t>2,11*1,82*2</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</si>
  <si>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</si>
  <si>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150115</t>
  </si>
  <si>
    <t>Placa cimentícia 40 x 40 cm, e = 3,5 cm, de alta resistência, podotátil direcional ou alerta, assentada com argamassa de cimento e areia</t>
  </si>
  <si>
    <t>31*2*0,4+21*2*0,4+1,5*8*0,4+1,24*0,4+2,5*0,4+0,6*0,4*2+1,36*0,4</t>
  </si>
  <si>
    <t>Passeio lateral, palco e bebedouros</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</si>
  <si>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</si>
  <si>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150300</t>
  </si>
  <si>
    <t>Contra- piso e regularização:</t>
  </si>
  <si>
    <t>150301</t>
  </si>
  <si>
    <t>1,82*2,11*2+0,64*0,36*2</t>
  </si>
  <si>
    <t>Instalaçao sanitária e sóculo</t>
  </si>
  <si>
    <t>Será medido pela área onde será executado, na espessura mínima de 6cm (m²).
O item remunera o fornecimento de cimento, areia, pedra britada nº 1, 2 e a mão-de-obra necessária para o apiloamento do terreno e execução do lastro.</t>
  </si>
  <si>
    <t>150405</t>
  </si>
  <si>
    <t>Passeio de concreto e= 8 cm, fck 15 Mpa, c/ preparo p/ terreno, incluindo preparo de caixa, sem revestimento com argamassa de cimento e areia</t>
  </si>
  <si>
    <t>31*2*1,5+18*1,5*2+1,2*15,8+9*1,78+(28-1,82)*2,3-15,8*1,1+2,04*16+(2,35+1,36+1,36+3,89)*1,36</t>
  </si>
  <si>
    <t>Perímetro externo e área interna de circulação da quadra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</si>
  <si>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</si>
  <si>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PINTURA</t>
  </si>
  <si>
    <t>Pintura:</t>
  </si>
  <si>
    <t>Tinta acrílica em parede externa, sem emassamento (duas demãos)</t>
  </si>
  <si>
    <t>1,82*2,11*2+3,74*2,58</t>
  </si>
  <si>
    <t>Laje de cobertura</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</si>
  <si>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</si>
  <si>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Pintura texturizada com desempenadeira de aço, lixamento do emboço e fundo selador</t>
  </si>
  <si>
    <t>(28-4,7-1,6)*1,5*4+18*3+18*1,5*2+21,62*4*0,5+(3,75+1,66)*0,5*2+2,58*3+2,58*2,5*2+4,5*4*3+3,74*2,35*2+1,24*2,5+8,24*0,52+4,7*2*3+4,78*3*3+1,82*4+4,78*1,82+3,74*2,58-1,6*1,5+4,78*1+2,02*1-(1,82*3*2+2,11*3*2)*2-(1,82*2,11*2+3,74*2,58)</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</si>
  <si>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</si>
  <si>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BANCADAS, PRATELEIRAS E DIVISÓRIAS</t>
  </si>
  <si>
    <t>Execução  de:</t>
  </si>
  <si>
    <t>180110</t>
  </si>
  <si>
    <t>Soleira ou peitoril de granito cinza andorinha e=2cm</t>
  </si>
  <si>
    <t>1*,2*2</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</si>
  <si>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</si>
  <si>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QUADRA</t>
  </si>
  <si>
    <t xml:space="preserve">Pintura com tinta a base epox em piso de quadra esportiva concreto 2 demãos </t>
  </si>
  <si>
    <t>(18,6+3,02)*(11,2+1,2+1,2)</t>
  </si>
  <si>
    <t>Áre de jogos da quadra</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</si>
  <si>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</si>
  <si>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</si>
  <si>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</si>
  <si>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</si>
  <si>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</si>
  <si>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</si>
  <si>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</si>
  <si>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Fechamento fundo do palco</t>
  </si>
  <si>
    <t>200202</t>
  </si>
  <si>
    <r>
      <t>Alambrado para quadra esportiva com tela de arame galvanizado</t>
    </r>
    <r>
      <rPr>
        <b/>
        <i/>
        <u val="single"/>
        <sz val="12"/>
        <rFont val="Calibri"/>
        <family val="2"/>
      </rPr>
      <t xml:space="preserve"> </t>
    </r>
    <r>
      <rPr>
        <b/>
        <sz val="12"/>
        <rFont val="Calibri"/>
        <family val="2"/>
      </rPr>
      <t>, fixada em quadros de tubos de aço galvanizado, h=2m</t>
    </r>
  </si>
  <si>
    <t>(28-4,7)*2+18+21,62*2-3,9-4,5+3,75+1,66</t>
  </si>
  <si>
    <t>Conforme projeto fechamento lateral e área de jogos</t>
  </si>
  <si>
    <t>200204</t>
  </si>
  <si>
    <t>Portão em tubo galvanizado de 1 1/2" com tela 2" fio 12 # 1/2" inclusive cadeado</t>
  </si>
  <si>
    <t>1,5*3,5*3+3*1,3*2,5+4,05*2,5*2</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</si>
  <si>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</si>
  <si>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</si>
  <si>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</si>
  <si>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</si>
  <si>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</si>
  <si>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CJ</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</si>
  <si>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</si>
  <si>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</si>
  <si>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</si>
  <si>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(18,6+3,02)*(11,2+1,2+1,2)*0,05</t>
  </si>
  <si>
    <t xml:space="preserve">Área de jogos </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</si>
  <si>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</si>
  <si>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200304</t>
  </si>
  <si>
    <t>Armadura de tela de aço CA 60B (tela de aço CA 60 soldada com trama de 100x100mm D=4,20mm do fio e arrame recozido) OBS: 2,20KG/M2</t>
  </si>
  <si>
    <t>(18,6+3,02)*(11,2+1,2+1,2)*2,2</t>
  </si>
  <si>
    <t>Laje de piso da quadra</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</si>
  <si>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</si>
  <si>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</si>
  <si>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</si>
  <si>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(18,6+3,02)*(11,2+1,2+1,2)*0,08</t>
  </si>
  <si>
    <t>Laje de piso da quada</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</si>
  <si>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</si>
  <si>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200308</t>
  </si>
  <si>
    <t>Tela de nylon (malha 10 X 10 cm)</t>
  </si>
  <si>
    <t>18*28+4,78*2,22</t>
  </si>
  <si>
    <t>Proteção reservatório superior e sob toda a área de projeção de cobertura para proteger refletores e telhas</t>
  </si>
  <si>
    <t>Será medido pela área instalada (m²).
O item remunera o fornecimento e instalação de tela de náilon, com malha de 10 x 10 cm, fio com espessura de 2 mm na cor verde. remunera também acessórios para instalação.</t>
  </si>
  <si>
    <t>200403</t>
  </si>
  <si>
    <t xml:space="preserve">Estrutura de aço para cobertura em arco, espaçamento entre arcos de 6,0 m, vão de 30,0 m, em aço  A 36, inclusive montagem </t>
  </si>
  <si>
    <t>18*28</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</si>
  <si>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</si>
  <si>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200404</t>
  </si>
  <si>
    <t>Cobertura em telhas de aço galvanizado, perfil ondulado, esp.  0,5 mm</t>
  </si>
  <si>
    <t>18*28*1,034+28*2*2+18*3,1*2</t>
  </si>
  <si>
    <t>área de projeção da quadra mais empenas mais saias</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</si>
  <si>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</si>
  <si>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230000</t>
  </si>
  <si>
    <t>LIMPEZA</t>
  </si>
  <si>
    <t>230100</t>
  </si>
  <si>
    <t>Limpeza:</t>
  </si>
  <si>
    <t>230101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</si>
  <si>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</si>
  <si>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</si>
  <si>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230201</t>
  </si>
  <si>
    <t>Transporte e carga manual de material a granel (ou demolição) até a caçamba em até 100m</t>
  </si>
  <si>
    <t>240000</t>
  </si>
  <si>
    <t>LEVANTAMENTOS, E PROJETOS</t>
  </si>
  <si>
    <t>240100</t>
  </si>
  <si>
    <t>Levantamento planialtimétrico e cadastral, urbano, suburbano e rural</t>
  </si>
  <si>
    <t>Será medido por área de levantamento planialtimétrico e cadastral executado (un).
O item remunera o fornecimento da mão-de-obra qualificada necessária para a execução de levantamento planialtimétrico e cadastral em áreas urbanas e suburbanas até 2.000m², destinado à regularização, projetos viários e de infra-estrutura e urbanização, compreendendo: o detalhamento de divisas de gleba principal, sistema viário, quadras, áreas livres e institucionais, lotes, edificações, postes de rede pública de eletrificação, tampões com as respectivas identificações, guias, sarjetas, muro de arrimo, taludes e a elaboração das peças gráficas pertinentes. De acordo com a norma NBR 13.133/94 e lei federal 10.267/01, também remunera o fornecimento de projeto planialtimétrico, contendo todas as informações e detalhes levantados de acordo com o padrão da Secretaria Estadual de Educação (SEE MG), inclusive respectivo memorial descritivo. O projeto deverá ser constituído por: peças gráficas no formato A1 e devem seguir as seguintes premissas: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final, devidamente aprovado pela Diretoria de Rede Física das Regionais, deverá ser constituída por: duas cópias plotadas em papel sulfite; uma cópia do arquivo eletrônico com extensão "dwg" em "compact disc" (CD Rom).
-  A entrega do memorial descritivo em formato "doc" ou "docx" no mesmo DR Rom dos arquivos de projeto.</t>
  </si>
  <si>
    <t>240101</t>
  </si>
  <si>
    <t>Levantamento planialtimétrico e cadastral, urbano, suburbano e rural em terreno até 2.000 m²</t>
  </si>
  <si>
    <t>240200</t>
  </si>
  <si>
    <t>Projetos</t>
  </si>
  <si>
    <t>Será medido por unidade de desenho fornecido e aprovado pela fiscalização ou terceiros conforme o caso (un).
O item remunera o fornecimento de projeto, contendo todas as informações e detalhes construtivos, para a execução completa da obra de acordo com o padrão da Secretaria Estadual de Educação (SEE MG), inclusive a concessão dos direitos autorais referentes ao projeto para a Caixa Escolar. O projeto deverá ser constituído por: peças gráficas no formato A1; relatórios contendo as premissas de projeto; especificações técnicas; memoriais descritivos, listas de quantidade e memórias de cálculo pertinentes. Apresentados conforme relação abaixo:
A)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executivo de arquitetura, devidamente aprovado pela Diretoria de Rede Física das Regionais, deverá ser constituída por: duas cópias plotadas em papel sulfite; uma cópia do arquivo eletrônico com extensão "dwg" em "compact disc" (CD Rom).
B) Os relatórios, as especificações técnicas, os memoriais descritivos, lista de quantidades e as memórias de cálculo pertinentes contendo as premissas de projeto deverão ser desenvolvidas por meio dos softwares "WINWORD", ou "EXCEL" e apresentados da seguinte forma:
- Duas cópias completas no formato A4, em papel sulfite, encadernadas;
- Os arquivos eletrônicos com extensão "doc" ou "xls",em "compact disc" (CD Rom ).</t>
  </si>
  <si>
    <t>240201</t>
  </si>
  <si>
    <t>Projeto executivo de arquitetura em formato A1</t>
  </si>
  <si>
    <t>240202</t>
  </si>
  <si>
    <t>Projeto executivo de instalações hidrosanitárias em formato A1</t>
  </si>
  <si>
    <t>240203</t>
  </si>
  <si>
    <t>Projeto executivo de instalações elétricas em formato A1</t>
  </si>
  <si>
    <t>240206</t>
  </si>
  <si>
    <t>Projeto executivo e estrutural de estrutura de concreto</t>
  </si>
  <si>
    <t>240207</t>
  </si>
  <si>
    <t>Projeto executivo e estrutural de estrutura metálica</t>
  </si>
  <si>
    <t>240209</t>
  </si>
  <si>
    <t xml:space="preserve">Projeto executivo de drenagem pluvial </t>
  </si>
  <si>
    <t>260000</t>
  </si>
  <si>
    <t>OUTROS</t>
  </si>
  <si>
    <t>SETOP 
ED-50734</t>
  </si>
  <si>
    <t>Friso de alumínio anodizado natural 3/8”(uso interno)</t>
  </si>
  <si>
    <t>4,26+0,36+2,18</t>
  </si>
  <si>
    <t>Alvenaria de fechamento superior na laje de cobertura das instalações sanitárias</t>
  </si>
  <si>
    <t>TOTAL CUSTO =</t>
  </si>
  <si>
    <t>BDI PROJETO =</t>
  </si>
  <si>
    <t xml:space="preserve">BDI OBRA = </t>
  </si>
  <si>
    <t xml:space="preserve">TOTAL GERAL = </t>
  </si>
  <si>
    <t>BASE                                                                                           SETOP, SIDECAP, PINI, ORSE,SINAPI  ABR/21</t>
  </si>
  <si>
    <t>REV00  ABR/21</t>
  </si>
  <si>
    <t>Data da elaboração:</t>
  </si>
  <si>
    <t>CRONOGRAMA FÍSICO-FINANCEIRO</t>
  </si>
  <si>
    <t xml:space="preserve">ESCOLA                                                                                                                                          </t>
  </si>
  <si>
    <t xml:space="preserve">MUNICÍPIO / DISTRITO:                                                                                                                                                         </t>
  </si>
  <si>
    <t>ENDEREÇO:</t>
  </si>
  <si>
    <t>SERVIÇOS: Construção de quadra poliesportiva.</t>
  </si>
  <si>
    <t>VALOR</t>
  </si>
  <si>
    <t>VALOR + BDI</t>
  </si>
  <si>
    <t>% INC.</t>
  </si>
  <si>
    <t>1º MÊS</t>
  </si>
  <si>
    <t>2º MÊS</t>
  </si>
  <si>
    <t>3º MÊS</t>
  </si>
  <si>
    <t>4º MÊS</t>
  </si>
  <si>
    <t>5º MÊS</t>
  </si>
  <si>
    <t>6º MÊS</t>
  </si>
  <si>
    <t>7º MÊS</t>
  </si>
  <si>
    <t>8º MÊS</t>
  </si>
  <si>
    <t>9º MÊS</t>
  </si>
  <si>
    <t>10º MÊS</t>
  </si>
  <si>
    <t>11º MÊS</t>
  </si>
  <si>
    <t>%</t>
  </si>
  <si>
    <t>TOTAL MENSAL</t>
  </si>
  <si>
    <t>TOTAL ACUMULADO</t>
  </si>
  <si>
    <t>LOCAL / DATA:</t>
  </si>
  <si>
    <t xml:space="preserve">Nome do técnico responsável pela elaboração da planilha:   </t>
  </si>
  <si>
    <t xml:space="preserve">MUNICÍPIO:                                     SÃO JOÃO DA PONTE MG                                                                                                             </t>
  </si>
  <si>
    <t>307174MG</t>
  </si>
  <si>
    <t xml:space="preserve">Responsável legal:   DANILO WAGNER VELOSO       </t>
  </si>
  <si>
    <t xml:space="preserve">Nome do técnico responsável pela elaboração da planilha: NOEDSON FERREIRA DE CARVALHO OLIVEIRA                               </t>
  </si>
  <si>
    <t xml:space="preserve">CREA : </t>
  </si>
  <si>
    <t xml:space="preserve">        SECRETARIA DE ESTADO DE EDUCAÇÃO - DIRETORIA DE INFRAESTRUTURA ESCOLAR E GESTÃO DA REDE FÍSICA - PLANILHA DE SERVIÇOS E MEMÓRIA DE CALCULO</t>
  </si>
  <si>
    <t>REGIME DE EXECUÇÃO: INDIRETA</t>
  </si>
  <si>
    <t>PREÇO UNIT. COM BDI</t>
  </si>
  <si>
    <t xml:space="preserve">ESCOLA:                                    MUNICIPAL ESTADUAL                                                                                       </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</si>
</sst>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_);_(@_)"/>
    <numFmt numFmtId="165" formatCode="#,##0.00\ ;&quot; (&quot;#,##0.00\);&quot; -&quot;#\ ;@\ "/>
    <numFmt numFmtId="166" formatCode="0.00_);\(0.00\)"/>
    <numFmt numFmtId="167" formatCode="dd/mm/yy;@"/>
    <numFmt numFmtId="168" formatCode="#,##0.000"/>
    <numFmt numFmtId="169" formatCode="#,##0.0000"/>
    <numFmt numFmtId="170" formatCode="#,##0.00000"/>
    <numFmt numFmtId="171" formatCode="0.000%"/>
    <numFmt numFmtId="172" formatCode="0.0000%"/>
    <numFmt numFmtId="173" formatCode="0.000"/>
    <numFmt numFmtId="174" formatCode="0.0000"/>
    <numFmt numFmtId="175" formatCode="0.00000"/>
    <numFmt numFmtId="176" formatCode="0.000000"/>
    <numFmt numFmtId="177" formatCode="0.0"/>
    <numFmt numFmtId="178" formatCode="#,##0.0"/>
    <numFmt numFmtId="179" formatCode="#,##0.000000"/>
    <numFmt numFmtId="180" formatCode="0.000_);\(0.000\)"/>
    <numFmt numFmtId="181" formatCode="0.0000_);\(0.0000\)"/>
    <numFmt numFmtId="182" formatCode="0.00000_);\(0.00000\)"/>
    <numFmt numFmtId="183" formatCode="#,##0.0000000"/>
  </numFmts>
  <fonts count="65">
    <font>
      <sz val="11"/>
      <color indexed="8"/>
      <name val="Calibri"/>
      <family val="2"/>
    </font>
    <font>
      <sz val="10"/>
      <name val="Arial"/>
      <family val="0"/>
    </font>
    <font>
      <sz val="14"/>
      <name val="Arial"/>
      <family val="2"/>
    </font>
    <font>
      <b/>
      <sz val="12"/>
      <color indexed="10"/>
      <name val="Calibri"/>
      <family val="2"/>
    </font>
    <font>
      <sz val="12"/>
      <color indexed="8"/>
      <name val="Calibri"/>
      <family val="2"/>
    </font>
    <font>
      <sz val="12"/>
      <name val="Calibri"/>
      <family val="2"/>
    </font>
    <font>
      <b/>
      <sz val="14"/>
      <name val="Calibri"/>
      <family val="2"/>
    </font>
    <font>
      <sz val="11"/>
      <name val="Calibri"/>
      <family val="2"/>
    </font>
    <font>
      <sz val="14"/>
      <name val="Calibri"/>
      <family val="2"/>
    </font>
    <font>
      <b/>
      <sz val="10"/>
      <name val="Arial"/>
      <family val="2"/>
    </font>
    <font>
      <b/>
      <sz val="12"/>
      <name val="Calibri"/>
      <family val="2"/>
    </font>
    <font>
      <vertAlign val="superscript"/>
      <sz val="14"/>
      <name val="Calibri"/>
      <family val="2"/>
    </font>
    <font>
      <b/>
      <sz val="10"/>
      <name val="Calibri"/>
      <family val="2"/>
    </font>
    <font>
      <b/>
      <sz val="12"/>
      <color indexed="8"/>
      <name val="Calibri"/>
      <family val="2"/>
    </font>
    <font>
      <b/>
      <u val="single"/>
      <sz val="12"/>
      <name val="Calibri"/>
      <family val="2"/>
    </font>
    <font>
      <b/>
      <vertAlign val="superscript"/>
      <sz val="12"/>
      <name val="Calibri"/>
      <family val="2"/>
    </font>
    <font>
      <sz val="14"/>
      <color indexed="53"/>
      <name val="Calibri"/>
      <family val="2"/>
    </font>
    <font>
      <b/>
      <i/>
      <sz val="12"/>
      <name val="Calibri"/>
      <family val="2"/>
    </font>
    <font>
      <b/>
      <sz val="14"/>
      <name val="Arial"/>
      <family val="2"/>
    </font>
    <font>
      <b/>
      <sz val="16"/>
      <name val="Arial"/>
      <family val="2"/>
    </font>
    <font>
      <b/>
      <i/>
      <u val="single"/>
      <sz val="12"/>
      <name val="Calibri"/>
      <family val="2"/>
    </font>
    <font>
      <sz val="10"/>
      <name val="Calibri"/>
      <family val="2"/>
    </font>
    <font>
      <b/>
      <sz val="14"/>
      <color indexed="10"/>
      <name val="Calibri"/>
      <family val="2"/>
    </font>
    <font>
      <b/>
      <sz val="7"/>
      <name val="Comic Sans MS"/>
      <family val="4"/>
    </font>
    <font>
      <sz val="11"/>
      <name val="Comic Sans MS"/>
      <family val="4"/>
    </font>
    <font>
      <b/>
      <sz val="10"/>
      <color indexed="8"/>
      <name val="Arial"/>
      <family val="2"/>
    </font>
    <font>
      <b/>
      <sz val="12"/>
      <color indexed="10"/>
      <name val="Arial"/>
      <family val="2"/>
    </font>
    <font>
      <b/>
      <sz val="12"/>
      <color indexed="8"/>
      <name val="Arial"/>
      <family val="2"/>
    </font>
    <font>
      <b/>
      <sz val="12"/>
      <name val="Arial"/>
      <family val="2"/>
    </font>
    <font>
      <b/>
      <sz val="9"/>
      <name val="Arial"/>
      <family val="2"/>
    </font>
    <font>
      <b/>
      <sz val="11"/>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color indexed="63"/>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57" fillId="21" borderId="5" applyNumberFormat="0" applyAlignment="0" applyProtection="0"/>
    <xf numFmtId="41" fontId="1" fillId="0" borderId="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164" fontId="0" fillId="0" borderId="0" applyFill="0" applyBorder="0" applyAlignment="0" applyProtection="0"/>
  </cellStyleXfs>
  <cellXfs count="200">
    <xf numFmtId="0" fontId="0" fillId="0" borderId="0" xfId="0" applyAlignment="1">
      <alignment/>
    </xf>
    <xf numFmtId="49" fontId="0" fillId="33" borderId="0" xfId="0" applyNumberFormat="1" applyFont="1" applyFill="1" applyAlignment="1">
      <alignment/>
    </xf>
    <xf numFmtId="0" fontId="0" fillId="33" borderId="0" xfId="0" applyFont="1" applyFill="1" applyAlignment="1">
      <alignment horizontal="justify" wrapText="1"/>
    </xf>
    <xf numFmtId="0" fontId="2" fillId="33" borderId="0" xfId="0" applyFont="1" applyFill="1" applyAlignment="1">
      <alignment vertical="center"/>
    </xf>
    <xf numFmtId="0" fontId="2" fillId="33" borderId="0" xfId="0" applyFont="1" applyFill="1" applyAlignment="1">
      <alignment horizontal="center" vertical="center"/>
    </xf>
    <xf numFmtId="4" fontId="2" fillId="33" borderId="0" xfId="60" applyNumberFormat="1" applyFont="1" applyFill="1" applyBorder="1" applyAlignment="1" applyProtection="1">
      <alignment horizontal="center" vertical="center"/>
      <protection/>
    </xf>
    <xf numFmtId="0" fontId="3" fillId="33" borderId="0" xfId="0" applyFont="1" applyFill="1" applyBorder="1" applyAlignment="1">
      <alignment horizontal="center"/>
    </xf>
    <xf numFmtId="0" fontId="4" fillId="33" borderId="0" xfId="0" applyFont="1" applyFill="1" applyAlignment="1">
      <alignment horizontal="center"/>
    </xf>
    <xf numFmtId="0" fontId="5" fillId="33" borderId="0" xfId="0" applyFont="1" applyFill="1" applyAlignment="1">
      <alignment/>
    </xf>
    <xf numFmtId="0" fontId="0" fillId="33" borderId="0" xfId="0" applyFont="1" applyFill="1" applyAlignment="1">
      <alignment/>
    </xf>
    <xf numFmtId="0" fontId="6" fillId="33" borderId="10" xfId="0" applyFont="1" applyFill="1" applyBorder="1" applyAlignment="1" applyProtection="1">
      <alignment horizontal="center" vertical="center"/>
      <protection locked="0"/>
    </xf>
    <xf numFmtId="0" fontId="7" fillId="33" borderId="0" xfId="0" applyFont="1" applyFill="1" applyAlignment="1">
      <alignment/>
    </xf>
    <xf numFmtId="0" fontId="6" fillId="33" borderId="11" xfId="0" applyNumberFormat="1" applyFont="1" applyFill="1" applyBorder="1" applyAlignment="1" applyProtection="1">
      <alignment vertical="center"/>
      <protection locked="0"/>
    </xf>
    <xf numFmtId="49" fontId="6" fillId="33" borderId="12" xfId="0" applyNumberFormat="1" applyFont="1" applyFill="1" applyBorder="1" applyAlignment="1" applyProtection="1">
      <alignment horizontal="center" vertical="center"/>
      <protection locked="0"/>
    </xf>
    <xf numFmtId="0" fontId="8" fillId="33" borderId="0" xfId="0" applyFont="1" applyFill="1" applyAlignment="1">
      <alignment/>
    </xf>
    <xf numFmtId="49" fontId="6" fillId="33" borderId="13" xfId="0" applyNumberFormat="1" applyFont="1" applyFill="1" applyBorder="1" applyAlignment="1" applyProtection="1">
      <alignment horizontal="center" vertical="center"/>
      <protection locked="0"/>
    </xf>
    <xf numFmtId="10" fontId="6" fillId="34" borderId="14" xfId="0" applyNumberFormat="1" applyFont="1" applyFill="1" applyBorder="1" applyAlignment="1" applyProtection="1">
      <alignment horizontal="center" vertical="center"/>
      <protection locked="0"/>
    </xf>
    <xf numFmtId="49" fontId="6" fillId="33" borderId="13" xfId="0" applyNumberFormat="1" applyFont="1" applyFill="1" applyBorder="1" applyAlignment="1" applyProtection="1">
      <alignment vertical="center"/>
      <protection locked="0"/>
    </xf>
    <xf numFmtId="49" fontId="6" fillId="33" borderId="15" xfId="0" applyNumberFormat="1" applyFont="1" applyFill="1" applyBorder="1" applyAlignment="1" applyProtection="1">
      <alignment vertical="center"/>
      <protection locked="0"/>
    </xf>
    <xf numFmtId="0" fontId="6" fillId="33" borderId="14" xfId="0" applyFont="1" applyFill="1" applyBorder="1" applyAlignment="1" applyProtection="1">
      <alignment horizontal="center" vertical="center" wrapText="1"/>
      <protection locked="0"/>
    </xf>
    <xf numFmtId="4" fontId="6" fillId="33" borderId="16" xfId="60" applyNumberFormat="1" applyFont="1" applyFill="1" applyBorder="1" applyAlignment="1" applyProtection="1">
      <alignment horizontal="center" vertical="center"/>
      <protection locked="0"/>
    </xf>
    <xf numFmtId="4" fontId="6" fillId="33" borderId="14" xfId="60" applyNumberFormat="1" applyFont="1" applyFill="1" applyBorder="1" applyAlignment="1" applyProtection="1">
      <alignment horizontal="center" vertical="center" wrapText="1"/>
      <protection locked="0"/>
    </xf>
    <xf numFmtId="0" fontId="9" fillId="33" borderId="0" xfId="0" applyFont="1" applyFill="1" applyBorder="1" applyAlignment="1">
      <alignment/>
    </xf>
    <xf numFmtId="2" fontId="9" fillId="33" borderId="0" xfId="0" applyNumberFormat="1" applyFont="1" applyFill="1" applyBorder="1" applyAlignment="1">
      <alignment/>
    </xf>
    <xf numFmtId="49" fontId="10" fillId="33" borderId="17" xfId="0" applyNumberFormat="1" applyFont="1" applyFill="1" applyBorder="1" applyAlignment="1" applyProtection="1">
      <alignment horizontal="center" vertical="center" wrapText="1"/>
      <protection locked="0"/>
    </xf>
    <xf numFmtId="0" fontId="6" fillId="33" borderId="14" xfId="0" applyFont="1" applyFill="1" applyBorder="1" applyAlignment="1" applyProtection="1">
      <alignment horizontal="justify" vertical="center" wrapText="1"/>
      <protection locked="0"/>
    </xf>
    <xf numFmtId="0" fontId="8" fillId="33" borderId="18" xfId="0" applyNumberFormat="1" applyFont="1" applyFill="1" applyBorder="1" applyAlignment="1" applyProtection="1">
      <alignment horizontal="center" vertical="center" wrapText="1"/>
      <protection locked="0"/>
    </xf>
    <xf numFmtId="4" fontId="8" fillId="33" borderId="18" xfId="0" applyNumberFormat="1" applyFont="1" applyFill="1" applyBorder="1" applyAlignment="1" applyProtection="1">
      <alignment horizontal="center" vertical="center" wrapText="1"/>
      <protection locked="0"/>
    </xf>
    <xf numFmtId="4" fontId="8" fillId="33" borderId="18" xfId="60" applyNumberFormat="1" applyFont="1" applyFill="1" applyBorder="1" applyAlignment="1" applyProtection="1">
      <alignment horizontal="center" vertical="center" wrapText="1"/>
      <protection locked="0"/>
    </xf>
    <xf numFmtId="165" fontId="8" fillId="33" borderId="18" xfId="0" applyNumberFormat="1"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33" borderId="0" xfId="0" applyFont="1" applyFill="1" applyBorder="1" applyAlignment="1" applyProtection="1">
      <alignment vertical="center" wrapText="1"/>
      <protection locked="0"/>
    </xf>
    <xf numFmtId="0" fontId="9" fillId="33" borderId="0" xfId="0" applyFont="1" applyFill="1" applyBorder="1" applyAlignment="1">
      <alignment vertical="center" wrapText="1"/>
    </xf>
    <xf numFmtId="2" fontId="9" fillId="33" borderId="0" xfId="0" applyNumberFormat="1" applyFont="1" applyFill="1" applyBorder="1" applyAlignment="1">
      <alignment vertical="center" wrapText="1"/>
    </xf>
    <xf numFmtId="49" fontId="10" fillId="33" borderId="19" xfId="0" applyNumberFormat="1" applyFont="1" applyFill="1" applyBorder="1" applyAlignment="1" applyProtection="1">
      <alignment horizontal="center" vertical="center" wrapText="1"/>
      <protection locked="0"/>
    </xf>
    <xf numFmtId="0" fontId="10" fillId="33" borderId="18" xfId="0" applyFont="1" applyFill="1" applyBorder="1" applyAlignment="1" applyProtection="1">
      <alignment horizontal="justify" vertical="center" wrapText="1"/>
      <protection locked="0"/>
    </xf>
    <xf numFmtId="0" fontId="8" fillId="33" borderId="20" xfId="0" applyFont="1" applyFill="1" applyBorder="1" applyAlignment="1" applyProtection="1">
      <alignment horizontal="center" vertical="center" wrapText="1"/>
      <protection locked="0"/>
    </xf>
    <xf numFmtId="4" fontId="8" fillId="33" borderId="20" xfId="0" applyNumberFormat="1" applyFont="1" applyFill="1" applyBorder="1" applyAlignment="1" applyProtection="1">
      <alignment horizontal="center" vertical="center" wrapText="1"/>
      <protection locked="0"/>
    </xf>
    <xf numFmtId="165" fontId="8" fillId="33" borderId="20" xfId="0" applyNumberFormat="1" applyFont="1" applyFill="1" applyBorder="1" applyAlignment="1" applyProtection="1">
      <alignment horizontal="center" vertical="center" wrapText="1"/>
      <protection locked="0"/>
    </xf>
    <xf numFmtId="2" fontId="10" fillId="33" borderId="0" xfId="0" applyNumberFormat="1" applyFont="1" applyFill="1" applyBorder="1" applyAlignment="1" applyProtection="1">
      <alignment horizontal="center" vertical="center" wrapText="1"/>
      <protection locked="0"/>
    </xf>
    <xf numFmtId="165" fontId="10" fillId="33" borderId="0" xfId="0" applyNumberFormat="1" applyFont="1" applyFill="1" applyBorder="1" applyAlignment="1" applyProtection="1">
      <alignment horizontal="center" vertical="center" wrapText="1"/>
      <protection locked="0"/>
    </xf>
    <xf numFmtId="0" fontId="10" fillId="33" borderId="0" xfId="49" applyNumberFormat="1" applyFont="1" applyFill="1" applyBorder="1" applyAlignment="1" applyProtection="1">
      <alignment vertical="center" wrapText="1"/>
      <protection locked="0"/>
    </xf>
    <xf numFmtId="2" fontId="0" fillId="0" borderId="0" xfId="0" applyNumberFormat="1" applyAlignment="1">
      <alignment/>
    </xf>
    <xf numFmtId="49" fontId="10" fillId="33" borderId="21" xfId="0" applyNumberFormat="1" applyFont="1" applyFill="1" applyBorder="1" applyAlignment="1" applyProtection="1">
      <alignment horizontal="center" vertical="center" wrapText="1"/>
      <protection locked="0"/>
    </xf>
    <xf numFmtId="0" fontId="5" fillId="33" borderId="20" xfId="0" applyFont="1" applyFill="1" applyBorder="1" applyAlignment="1" applyProtection="1">
      <alignment horizontal="justify" vertical="center" wrapText="1"/>
      <protection locked="0"/>
    </xf>
    <xf numFmtId="0" fontId="5" fillId="33" borderId="22" xfId="0" applyFont="1" applyFill="1" applyBorder="1" applyAlignment="1" applyProtection="1">
      <alignment vertical="center" wrapText="1"/>
      <protection locked="0"/>
    </xf>
    <xf numFmtId="0" fontId="5" fillId="33" borderId="0" xfId="0" applyFont="1" applyFill="1" applyBorder="1" applyAlignment="1" applyProtection="1">
      <alignment vertical="center" wrapText="1"/>
      <protection locked="0"/>
    </xf>
    <xf numFmtId="0" fontId="10" fillId="33" borderId="20" xfId="0" applyFont="1" applyFill="1" applyBorder="1" applyAlignment="1">
      <alignment horizontal="justify" vertical="center" wrapText="1"/>
    </xf>
    <xf numFmtId="0" fontId="5" fillId="33" borderId="0" xfId="0" applyFont="1" applyFill="1" applyBorder="1" applyAlignment="1" applyProtection="1">
      <alignment horizontal="justify" vertical="center" wrapText="1"/>
      <protection locked="0"/>
    </xf>
    <xf numFmtId="2" fontId="10" fillId="33" borderId="22" xfId="0" applyNumberFormat="1" applyFont="1" applyFill="1" applyBorder="1" applyAlignment="1" applyProtection="1">
      <alignment vertical="center" wrapText="1"/>
      <protection locked="0"/>
    </xf>
    <xf numFmtId="2" fontId="10" fillId="33" borderId="0" xfId="0" applyNumberFormat="1" applyFont="1" applyFill="1" applyBorder="1" applyAlignment="1" applyProtection="1">
      <alignment vertical="center" wrapText="1"/>
      <protection locked="0"/>
    </xf>
    <xf numFmtId="0" fontId="10" fillId="33" borderId="20" xfId="0" applyFont="1" applyFill="1" applyBorder="1" applyAlignment="1" applyProtection="1">
      <alignment horizontal="justify" vertical="center" wrapText="1"/>
      <protection locked="0"/>
    </xf>
    <xf numFmtId="0" fontId="10" fillId="33" borderId="22" xfId="0" applyFont="1" applyFill="1" applyBorder="1" applyAlignment="1" applyProtection="1">
      <alignment vertical="center" wrapText="1"/>
      <protection locked="0"/>
    </xf>
    <xf numFmtId="165" fontId="6" fillId="33" borderId="16" xfId="0" applyNumberFormat="1" applyFont="1" applyFill="1" applyBorder="1" applyAlignment="1" applyProtection="1">
      <alignment horizontal="center" vertical="center" wrapText="1"/>
      <protection locked="0"/>
    </xf>
    <xf numFmtId="0" fontId="9" fillId="35" borderId="0" xfId="0" applyFont="1" applyFill="1" applyBorder="1" applyAlignment="1">
      <alignment horizontal="center" vertical="center" wrapText="1"/>
    </xf>
    <xf numFmtId="2" fontId="8" fillId="33" borderId="20" xfId="0" applyNumberFormat="1" applyFont="1" applyFill="1" applyBorder="1" applyAlignment="1" applyProtection="1">
      <alignment horizontal="center" vertical="center" wrapText="1"/>
      <protection locked="0"/>
    </xf>
    <xf numFmtId="0" fontId="12" fillId="33" borderId="23" xfId="0" applyFont="1" applyFill="1" applyBorder="1" applyAlignment="1" applyProtection="1">
      <alignment horizontal="justify" vertical="center" wrapText="1"/>
      <protection locked="0"/>
    </xf>
    <xf numFmtId="166" fontId="8" fillId="33" borderId="20" xfId="0" applyNumberFormat="1"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165" fontId="8" fillId="33" borderId="24" xfId="0" applyNumberFormat="1" applyFont="1" applyFill="1" applyBorder="1" applyAlignment="1" applyProtection="1">
      <alignment horizontal="center" vertical="center" wrapText="1"/>
      <protection locked="0"/>
    </xf>
    <xf numFmtId="0" fontId="10" fillId="33" borderId="0" xfId="0" applyFont="1" applyFill="1" applyBorder="1" applyAlignment="1" applyProtection="1">
      <alignment horizontal="justify" vertical="center" wrapText="1"/>
      <protection locked="0"/>
    </xf>
    <xf numFmtId="0" fontId="8" fillId="33" borderId="22"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14" fillId="33" borderId="20" xfId="0" applyFont="1" applyFill="1" applyBorder="1" applyAlignment="1" applyProtection="1">
      <alignment horizontal="justify" vertical="center" wrapText="1"/>
      <protection locked="0"/>
    </xf>
    <xf numFmtId="0" fontId="8" fillId="33" borderId="20" xfId="0" applyNumberFormat="1" applyFont="1" applyFill="1" applyBorder="1" applyAlignment="1" applyProtection="1">
      <alignment horizontal="center" vertical="center" wrapText="1"/>
      <protection locked="0"/>
    </xf>
    <xf numFmtId="49" fontId="10" fillId="33" borderId="25" xfId="0" applyNumberFormat="1" applyFont="1" applyFill="1" applyBorder="1" applyAlignment="1" applyProtection="1">
      <alignment horizontal="center" vertical="center" wrapText="1"/>
      <protection locked="0"/>
    </xf>
    <xf numFmtId="0" fontId="10" fillId="33" borderId="26" xfId="0" applyFont="1" applyFill="1" applyBorder="1" applyAlignment="1" applyProtection="1">
      <alignment horizontal="justify" vertical="center" wrapText="1"/>
      <protection locked="0"/>
    </xf>
    <xf numFmtId="0" fontId="10" fillId="33" borderId="23" xfId="0" applyFont="1" applyFill="1" applyBorder="1" applyAlignment="1" applyProtection="1">
      <alignment horizontal="justify" vertical="center" wrapText="1"/>
      <protection locked="0"/>
    </xf>
    <xf numFmtId="0" fontId="6" fillId="33" borderId="18" xfId="0" applyNumberFormat="1" applyFont="1" applyFill="1" applyBorder="1" applyAlignment="1" applyProtection="1">
      <alignment horizontal="center" vertical="center" wrapText="1"/>
      <protection locked="0"/>
    </xf>
    <xf numFmtId="2" fontId="8" fillId="33" borderId="18" xfId="0" applyNumberFormat="1" applyFont="1" applyFill="1" applyBorder="1" applyAlignment="1" applyProtection="1">
      <alignment horizontal="center" vertical="center" wrapText="1"/>
      <protection locked="0"/>
    </xf>
    <xf numFmtId="0" fontId="14" fillId="33" borderId="18" xfId="0" applyFont="1" applyFill="1" applyBorder="1" applyAlignment="1" applyProtection="1">
      <alignment horizontal="justify" vertical="center" wrapText="1"/>
      <protection locked="0"/>
    </xf>
    <xf numFmtId="4" fontId="8" fillId="33" borderId="20" xfId="60" applyNumberFormat="1" applyFont="1" applyFill="1" applyBorder="1" applyAlignment="1" applyProtection="1">
      <alignment horizontal="center" vertical="center" wrapText="1"/>
      <protection locked="0"/>
    </xf>
    <xf numFmtId="0" fontId="1" fillId="33" borderId="0" xfId="0" applyFont="1" applyFill="1" applyBorder="1" applyAlignment="1">
      <alignment vertical="center" wrapText="1"/>
    </xf>
    <xf numFmtId="49" fontId="12" fillId="33" borderId="25" xfId="0" applyNumberFormat="1" applyFont="1" applyFill="1" applyBorder="1" applyAlignment="1" applyProtection="1">
      <alignment horizontal="center" vertical="center" wrapText="1"/>
      <protection locked="0"/>
    </xf>
    <xf numFmtId="0" fontId="5" fillId="33" borderId="20" xfId="0" applyFont="1" applyFill="1" applyBorder="1" applyAlignment="1">
      <alignment horizontal="justify" vertical="center" wrapText="1"/>
    </xf>
    <xf numFmtId="49" fontId="10" fillId="33" borderId="21" xfId="0" applyNumberFormat="1" applyFont="1" applyFill="1" applyBorder="1" applyAlignment="1">
      <alignment horizontal="center" vertical="center" wrapText="1"/>
    </xf>
    <xf numFmtId="0" fontId="8" fillId="33" borderId="20" xfId="0" applyFont="1" applyFill="1" applyBorder="1" applyAlignment="1">
      <alignment horizontal="center" vertical="center" wrapText="1"/>
    </xf>
    <xf numFmtId="0" fontId="12" fillId="33" borderId="0" xfId="0" applyFont="1" applyFill="1" applyBorder="1" applyAlignment="1">
      <alignment vertical="center" wrapText="1"/>
    </xf>
    <xf numFmtId="2" fontId="16" fillId="33" borderId="20" xfId="0" applyNumberFormat="1" applyFont="1" applyFill="1" applyBorder="1" applyAlignment="1" applyProtection="1">
      <alignment horizontal="center" vertical="center" wrapText="1"/>
      <protection locked="0"/>
    </xf>
    <xf numFmtId="49" fontId="10" fillId="33" borderId="20" xfId="0" applyNumberFormat="1" applyFont="1" applyFill="1" applyBorder="1" applyAlignment="1" applyProtection="1">
      <alignment horizontal="justify" vertical="center" wrapText="1"/>
      <protection locked="0"/>
    </xf>
    <xf numFmtId="49" fontId="5" fillId="33" borderId="20" xfId="0" applyNumberFormat="1" applyFont="1" applyFill="1" applyBorder="1" applyAlignment="1" applyProtection="1">
      <alignment horizontal="justify" vertical="center" wrapText="1"/>
      <protection locked="0"/>
    </xf>
    <xf numFmtId="0" fontId="9" fillId="33" borderId="27" xfId="0" applyFont="1" applyFill="1" applyBorder="1" applyAlignment="1">
      <alignment horizontal="center" vertical="center" wrapText="1"/>
    </xf>
    <xf numFmtId="4" fontId="8" fillId="33" borderId="24" xfId="0" applyNumberFormat="1" applyFont="1" applyFill="1" applyBorder="1" applyAlignment="1" applyProtection="1">
      <alignment horizontal="center" vertical="center" wrapText="1"/>
      <protection locked="0"/>
    </xf>
    <xf numFmtId="0" fontId="19" fillId="33" borderId="0" xfId="0" applyFont="1" applyFill="1" applyBorder="1" applyAlignment="1">
      <alignment horizontal="center" vertical="center" wrapText="1"/>
    </xf>
    <xf numFmtId="1" fontId="10" fillId="33" borderId="17" xfId="0" applyNumberFormat="1" applyFont="1" applyFill="1" applyBorder="1" applyAlignment="1" applyProtection="1">
      <alignment horizontal="center" vertical="center" wrapText="1"/>
      <protection locked="0"/>
    </xf>
    <xf numFmtId="0" fontId="10" fillId="33" borderId="20" xfId="0" applyFont="1" applyFill="1" applyBorder="1" applyAlignment="1" applyProtection="1">
      <alignment horizontal="center" vertical="center" wrapText="1"/>
      <protection locked="0"/>
    </xf>
    <xf numFmtId="1" fontId="10" fillId="33" borderId="19" xfId="0" applyNumberFormat="1" applyFont="1" applyFill="1" applyBorder="1" applyAlignment="1" applyProtection="1">
      <alignment horizontal="center" vertical="center" wrapText="1"/>
      <protection locked="0"/>
    </xf>
    <xf numFmtId="1" fontId="10" fillId="33" borderId="21" xfId="0" applyNumberFormat="1" applyFont="1" applyFill="1" applyBorder="1" applyAlignment="1" applyProtection="1">
      <alignment horizontal="center" vertical="center" wrapText="1"/>
      <protection locked="0"/>
    </xf>
    <xf numFmtId="1" fontId="10" fillId="33" borderId="25" xfId="0" applyNumberFormat="1" applyFont="1" applyFill="1" applyBorder="1" applyAlignment="1" applyProtection="1">
      <alignment horizontal="center" vertical="center" wrapText="1"/>
      <protection locked="0"/>
    </xf>
    <xf numFmtId="0" fontId="10" fillId="33" borderId="23" xfId="0" applyFont="1" applyFill="1" applyBorder="1" applyAlignment="1" applyProtection="1">
      <alignment horizontal="justify" vertical="center" wrapText="1" shrinkToFit="1"/>
      <protection locked="0"/>
    </xf>
    <xf numFmtId="0" fontId="6" fillId="33" borderId="18" xfId="0" applyFont="1" applyFill="1" applyBorder="1" applyAlignment="1" applyProtection="1">
      <alignment horizontal="justify" vertical="center" wrapText="1"/>
      <protection locked="0"/>
    </xf>
    <xf numFmtId="49" fontId="10" fillId="33" borderId="28" xfId="0" applyNumberFormat="1" applyFont="1" applyFill="1" applyBorder="1" applyAlignment="1" applyProtection="1">
      <alignment horizontal="center" vertical="center" wrapText="1"/>
      <protection locked="0"/>
    </xf>
    <xf numFmtId="0" fontId="8" fillId="33" borderId="24" xfId="0" applyNumberFormat="1" applyFont="1" applyFill="1" applyBorder="1" applyAlignment="1" applyProtection="1">
      <alignment horizontal="center" vertical="center" wrapText="1"/>
      <protection locked="0"/>
    </xf>
    <xf numFmtId="0" fontId="10" fillId="33" borderId="20" xfId="0" applyFont="1" applyFill="1" applyBorder="1" applyAlignment="1" applyProtection="1">
      <alignment horizontal="justify" vertical="center" wrapText="1" shrinkToFit="1"/>
      <protection locked="0"/>
    </xf>
    <xf numFmtId="0" fontId="5" fillId="33" borderId="20" xfId="0" applyFont="1" applyFill="1" applyBorder="1" applyAlignment="1" applyProtection="1">
      <alignment horizontal="justify" vertical="center" wrapText="1" shrinkToFit="1"/>
      <protection locked="0"/>
    </xf>
    <xf numFmtId="0" fontId="14" fillId="33" borderId="20" xfId="0" applyFont="1" applyFill="1" applyBorder="1" applyAlignment="1" applyProtection="1">
      <alignment horizontal="justify" vertical="center" wrapText="1" shrinkToFit="1"/>
      <protection locked="0"/>
    </xf>
    <xf numFmtId="0" fontId="8" fillId="33" borderId="21" xfId="0" applyFont="1" applyFill="1" applyBorder="1" applyAlignment="1" applyProtection="1">
      <alignment horizontal="center" vertical="center" wrapText="1"/>
      <protection locked="0"/>
    </xf>
    <xf numFmtId="0" fontId="12" fillId="33" borderId="0" xfId="0" applyFont="1" applyFill="1" applyBorder="1" applyAlignment="1" applyProtection="1">
      <alignment vertical="center" wrapText="1"/>
      <protection locked="0"/>
    </xf>
    <xf numFmtId="49" fontId="21" fillId="33" borderId="25" xfId="0" applyNumberFormat="1" applyFont="1" applyFill="1" applyBorder="1" applyAlignment="1" applyProtection="1">
      <alignment vertical="center" wrapText="1"/>
      <protection locked="0"/>
    </xf>
    <xf numFmtId="0" fontId="21" fillId="33" borderId="23" xfId="0" applyFont="1" applyFill="1" applyBorder="1" applyAlignment="1" applyProtection="1">
      <alignment horizontal="justify" vertical="center" wrapText="1"/>
      <protection locked="0"/>
    </xf>
    <xf numFmtId="49" fontId="21" fillId="33" borderId="23" xfId="0" applyNumberFormat="1" applyFont="1" applyFill="1" applyBorder="1" applyAlignment="1" applyProtection="1">
      <alignment vertical="center" wrapText="1"/>
      <protection locked="0"/>
    </xf>
    <xf numFmtId="49" fontId="21" fillId="33" borderId="0" xfId="0" applyNumberFormat="1" applyFont="1" applyFill="1" applyBorder="1" applyAlignment="1" applyProtection="1">
      <alignment horizontal="center" vertical="center" wrapText="1"/>
      <protection locked="0"/>
    </xf>
    <xf numFmtId="0" fontId="6" fillId="33" borderId="29" xfId="0" applyFont="1" applyFill="1" applyBorder="1" applyAlignment="1" applyProtection="1">
      <alignment horizontal="justify" vertical="center" wrapText="1"/>
      <protection locked="0"/>
    </xf>
    <xf numFmtId="0" fontId="10" fillId="33" borderId="0" xfId="0" applyFont="1" applyFill="1" applyBorder="1" applyAlignment="1" applyProtection="1">
      <alignment horizontal="center"/>
      <protection locked="0"/>
    </xf>
    <xf numFmtId="165" fontId="10" fillId="33" borderId="0" xfId="0" applyNumberFormat="1" applyFont="1" applyFill="1" applyBorder="1" applyAlignment="1" applyProtection="1">
      <alignment/>
      <protection locked="0"/>
    </xf>
    <xf numFmtId="0" fontId="6" fillId="33" borderId="0" xfId="0" applyFont="1" applyFill="1" applyBorder="1" applyAlignment="1" applyProtection="1">
      <alignment horizontal="justify" vertical="center" wrapText="1"/>
      <protection locked="0"/>
    </xf>
    <xf numFmtId="165" fontId="6" fillId="33" borderId="15" xfId="0" applyNumberFormat="1" applyFont="1" applyFill="1" applyBorder="1" applyAlignment="1" applyProtection="1">
      <alignment horizontal="center" vertical="center" wrapText="1"/>
      <protection locked="0"/>
    </xf>
    <xf numFmtId="0" fontId="10" fillId="33" borderId="22" xfId="0" applyFont="1" applyFill="1" applyBorder="1" applyAlignment="1" applyProtection="1">
      <alignment horizontal="center" vertical="center" wrapText="1"/>
      <protection locked="0"/>
    </xf>
    <xf numFmtId="165" fontId="6" fillId="33" borderId="0" xfId="0" applyNumberFormat="1" applyFont="1" applyFill="1" applyBorder="1" applyAlignment="1" applyProtection="1">
      <alignment horizontal="center" vertical="center" wrapText="1"/>
      <protection locked="0"/>
    </xf>
    <xf numFmtId="0" fontId="10" fillId="33" borderId="30" xfId="0" applyFont="1" applyFill="1" applyBorder="1" applyAlignment="1" applyProtection="1">
      <alignment horizontal="center" vertical="center" wrapText="1"/>
      <protection locked="0"/>
    </xf>
    <xf numFmtId="0" fontId="23" fillId="33" borderId="31" xfId="0" applyFont="1" applyFill="1" applyBorder="1" applyAlignment="1" applyProtection="1">
      <alignment horizontal="center" vertical="center" wrapText="1"/>
      <protection locked="0"/>
    </xf>
    <xf numFmtId="0" fontId="24" fillId="33" borderId="31" xfId="0" applyFont="1" applyFill="1" applyBorder="1" applyAlignment="1" applyProtection="1">
      <alignment horizontal="center" vertical="center" wrapText="1"/>
      <protection locked="0"/>
    </xf>
    <xf numFmtId="0" fontId="6" fillId="33" borderId="31" xfId="0" applyFont="1" applyFill="1" applyBorder="1" applyAlignment="1" applyProtection="1">
      <alignment vertical="center" wrapText="1"/>
      <protection locked="0"/>
    </xf>
    <xf numFmtId="0" fontId="6" fillId="33" borderId="31" xfId="0" applyFont="1" applyFill="1" applyBorder="1" applyAlignment="1" applyProtection="1">
      <alignment horizontal="right" vertical="center" wrapText="1"/>
      <protection locked="0"/>
    </xf>
    <xf numFmtId="167" fontId="6" fillId="33" borderId="32" xfId="0" applyNumberFormat="1" applyFont="1" applyFill="1" applyBorder="1" applyAlignment="1" applyProtection="1">
      <alignment vertical="center" wrapText="1"/>
      <protection locked="0"/>
    </xf>
    <xf numFmtId="0" fontId="25" fillId="33" borderId="0" xfId="0" applyFont="1" applyFill="1" applyBorder="1" applyAlignment="1">
      <alignment/>
    </xf>
    <xf numFmtId="4" fontId="2" fillId="33" borderId="33" xfId="60" applyNumberFormat="1" applyFont="1" applyFill="1" applyBorder="1" applyAlignment="1" applyProtection="1">
      <alignment horizontal="center" vertical="center"/>
      <protection/>
    </xf>
    <xf numFmtId="0" fontId="2" fillId="33" borderId="33" xfId="0" applyFont="1" applyFill="1" applyBorder="1" applyAlignment="1">
      <alignment horizontal="center" vertical="center"/>
    </xf>
    <xf numFmtId="0" fontId="26" fillId="33" borderId="33" xfId="0" applyFont="1" applyFill="1" applyBorder="1" applyAlignment="1">
      <alignment horizontal="center"/>
    </xf>
    <xf numFmtId="0" fontId="27" fillId="33" borderId="33" xfId="0" applyFont="1" applyFill="1" applyBorder="1" applyAlignment="1">
      <alignment horizontal="center"/>
    </xf>
    <xf numFmtId="0" fontId="28" fillId="33" borderId="34" xfId="0" applyFont="1" applyFill="1" applyBorder="1" applyAlignment="1">
      <alignment/>
    </xf>
    <xf numFmtId="49" fontId="0" fillId="33" borderId="0" xfId="0" applyNumberFormat="1" applyFont="1" applyFill="1" applyBorder="1" applyAlignment="1">
      <alignment/>
    </xf>
    <xf numFmtId="0" fontId="28" fillId="33" borderId="0" xfId="0" applyFont="1" applyFill="1" applyBorder="1" applyAlignment="1">
      <alignment horizontal="justify" vertical="top" wrapText="1"/>
    </xf>
    <xf numFmtId="0" fontId="2" fillId="33" borderId="0" xfId="0" applyFont="1" applyFill="1" applyBorder="1" applyAlignment="1">
      <alignment vertical="center"/>
    </xf>
    <xf numFmtId="0" fontId="26" fillId="33" borderId="0" xfId="0" applyFont="1" applyFill="1" applyBorder="1" applyAlignment="1">
      <alignment horizontal="center"/>
    </xf>
    <xf numFmtId="0" fontId="27" fillId="33" borderId="0" xfId="0" applyFont="1" applyFill="1" applyBorder="1" applyAlignment="1">
      <alignment horizontal="center"/>
    </xf>
    <xf numFmtId="0" fontId="28" fillId="33" borderId="0" xfId="0" applyFont="1" applyFill="1" applyBorder="1" applyAlignment="1">
      <alignment/>
    </xf>
    <xf numFmtId="0" fontId="0" fillId="33" borderId="0" xfId="0" applyFont="1" applyFill="1" applyBorder="1" applyAlignment="1">
      <alignment horizontal="justify" wrapText="1"/>
    </xf>
    <xf numFmtId="0" fontId="0" fillId="33" borderId="0" xfId="0" applyFont="1" applyFill="1" applyAlignment="1">
      <alignment vertical="center"/>
    </xf>
    <xf numFmtId="4" fontId="0" fillId="33" borderId="0" xfId="0" applyNumberFormat="1" applyFont="1" applyFill="1" applyAlignment="1">
      <alignment vertical="center"/>
    </xf>
    <xf numFmtId="1" fontId="10" fillId="33" borderId="13" xfId="0" applyNumberFormat="1" applyFont="1" applyFill="1" applyBorder="1" applyAlignment="1">
      <alignment horizontal="center" vertical="center"/>
    </xf>
    <xf numFmtId="4" fontId="9" fillId="0" borderId="14" xfId="0" applyNumberFormat="1" applyFont="1" applyFill="1" applyBorder="1" applyAlignment="1">
      <alignment horizontal="center" vertical="center"/>
    </xf>
    <xf numFmtId="10" fontId="9" fillId="0" borderId="14" xfId="49" applyNumberFormat="1" applyFont="1" applyFill="1" applyBorder="1" applyAlignment="1" applyProtection="1">
      <alignment horizontal="center" vertical="center"/>
      <protection/>
    </xf>
    <xf numFmtId="1" fontId="7" fillId="0" borderId="14" xfId="49" applyNumberFormat="1" applyFont="1" applyFill="1" applyBorder="1" applyAlignment="1" applyProtection="1">
      <alignment horizontal="center" vertical="center"/>
      <protection/>
    </xf>
    <xf numFmtId="10" fontId="7" fillId="0" borderId="14" xfId="49" applyNumberFormat="1" applyFont="1" applyFill="1" applyBorder="1" applyAlignment="1" applyProtection="1">
      <alignment vertical="center" wrapText="1"/>
      <protection/>
    </xf>
    <xf numFmtId="4" fontId="7" fillId="0" borderId="14" xfId="49" applyNumberFormat="1" applyFont="1" applyFill="1" applyBorder="1" applyAlignment="1" applyProtection="1">
      <alignment horizontal="center" vertical="center"/>
      <protection/>
    </xf>
    <xf numFmtId="10" fontId="7" fillId="0" borderId="14" xfId="49" applyNumberFormat="1" applyFont="1" applyFill="1" applyBorder="1" applyAlignment="1" applyProtection="1">
      <alignment vertical="center"/>
      <protection/>
    </xf>
    <xf numFmtId="4" fontId="7" fillId="0" borderId="14" xfId="49" applyNumberFormat="1" applyFont="1" applyFill="1" applyBorder="1" applyAlignment="1" applyProtection="1">
      <alignment vertical="center"/>
      <protection/>
    </xf>
    <xf numFmtId="10" fontId="0" fillId="0" borderId="14" xfId="49" applyNumberFormat="1" applyFont="1" applyFill="1" applyBorder="1" applyAlignment="1" applyProtection="1">
      <alignment vertical="center" wrapText="1"/>
      <protection/>
    </xf>
    <xf numFmtId="0" fontId="0" fillId="0" borderId="0" xfId="0" applyNumberFormat="1" applyAlignment="1">
      <alignment/>
    </xf>
    <xf numFmtId="4" fontId="30" fillId="0" borderId="14" xfId="49" applyNumberFormat="1" applyFont="1" applyFill="1" applyBorder="1" applyAlignment="1" applyProtection="1">
      <alignment horizontal="center" vertical="center"/>
      <protection/>
    </xf>
    <xf numFmtId="10" fontId="30" fillId="0" borderId="14" xfId="49" applyNumberFormat="1" applyFont="1" applyFill="1" applyBorder="1" applyAlignment="1" applyProtection="1">
      <alignment vertical="center"/>
      <protection/>
    </xf>
    <xf numFmtId="4" fontId="30" fillId="0" borderId="14" xfId="49" applyNumberFormat="1" applyFont="1" applyFill="1" applyBorder="1" applyAlignment="1" applyProtection="1">
      <alignment vertical="center"/>
      <protection/>
    </xf>
    <xf numFmtId="0" fontId="6" fillId="33" borderId="15" xfId="0" applyNumberFormat="1" applyFont="1" applyFill="1" applyBorder="1" applyAlignment="1" applyProtection="1">
      <alignment horizontal="right" vertical="center" wrapText="1"/>
      <protection locked="0"/>
    </xf>
    <xf numFmtId="44" fontId="1" fillId="33" borderId="0" xfId="45" applyFill="1" applyAlignment="1">
      <alignment horizontal="center" vertical="center"/>
    </xf>
    <xf numFmtId="0" fontId="6" fillId="33" borderId="12" xfId="0" applyNumberFormat="1" applyFont="1" applyFill="1" applyBorder="1" applyAlignment="1" applyProtection="1">
      <alignment vertical="center"/>
      <protection locked="0"/>
    </xf>
    <xf numFmtId="4" fontId="6" fillId="33" borderId="15" xfId="60" applyNumberFormat="1" applyFont="1" applyFill="1" applyBorder="1" applyAlignment="1" applyProtection="1">
      <alignment horizontal="center" vertical="center"/>
      <protection locked="0"/>
    </xf>
    <xf numFmtId="0" fontId="6" fillId="33" borderId="15" xfId="0" applyNumberFormat="1" applyFont="1" applyFill="1" applyBorder="1" applyAlignment="1" applyProtection="1">
      <alignment horizontal="center" vertical="center" wrapText="1"/>
      <protection locked="0"/>
    </xf>
    <xf numFmtId="0" fontId="6" fillId="33" borderId="0" xfId="0" applyNumberFormat="1" applyFont="1" applyFill="1" applyBorder="1" applyAlignment="1" applyProtection="1">
      <alignment horizontal="right" vertical="center" wrapText="1"/>
      <protection locked="0"/>
    </xf>
    <xf numFmtId="44" fontId="2" fillId="33" borderId="0" xfId="0" applyNumberFormat="1" applyFont="1" applyFill="1" applyAlignment="1">
      <alignment horizontal="center" vertical="center"/>
    </xf>
    <xf numFmtId="170" fontId="8" fillId="33" borderId="20" xfId="0" applyNumberFormat="1" applyFont="1" applyFill="1" applyBorder="1" applyAlignment="1" applyProtection="1">
      <alignment horizontal="center" vertical="center" wrapText="1"/>
      <protection locked="0"/>
    </xf>
    <xf numFmtId="172" fontId="6" fillId="33" borderId="14" xfId="0" applyNumberFormat="1" applyFont="1" applyFill="1" applyBorder="1" applyAlignment="1" applyProtection="1">
      <alignment horizontal="right" vertical="center" wrapText="1"/>
      <protection locked="0"/>
    </xf>
    <xf numFmtId="173" fontId="8" fillId="33" borderId="20" xfId="0" applyNumberFormat="1" applyFont="1" applyFill="1" applyBorder="1" applyAlignment="1" applyProtection="1">
      <alignment horizontal="center" vertical="center" wrapText="1"/>
      <protection locked="0"/>
    </xf>
    <xf numFmtId="174" fontId="8" fillId="33" borderId="20" xfId="0" applyNumberFormat="1" applyFont="1" applyFill="1" applyBorder="1" applyAlignment="1" applyProtection="1">
      <alignment horizontal="center" vertical="center" wrapText="1"/>
      <protection locked="0"/>
    </xf>
    <xf numFmtId="175" fontId="8" fillId="33" borderId="20" xfId="0" applyNumberFormat="1" applyFont="1" applyFill="1" applyBorder="1" applyAlignment="1" applyProtection="1">
      <alignment horizontal="center" vertical="center" wrapText="1"/>
      <protection locked="0"/>
    </xf>
    <xf numFmtId="176" fontId="8" fillId="33" borderId="20" xfId="0" applyNumberFormat="1" applyFont="1" applyFill="1" applyBorder="1" applyAlignment="1" applyProtection="1">
      <alignment horizontal="center" vertical="center" wrapText="1"/>
      <protection locked="0"/>
    </xf>
    <xf numFmtId="179" fontId="8" fillId="33" borderId="20" xfId="0" applyNumberFormat="1" applyFont="1" applyFill="1" applyBorder="1" applyAlignment="1" applyProtection="1">
      <alignment horizontal="center" vertical="center" wrapText="1"/>
      <protection locked="0"/>
    </xf>
    <xf numFmtId="182" fontId="8" fillId="33" borderId="20" xfId="0" applyNumberFormat="1" applyFont="1" applyFill="1" applyBorder="1" applyAlignment="1" applyProtection="1">
      <alignment horizontal="center" vertical="center" wrapText="1"/>
      <protection locked="0"/>
    </xf>
    <xf numFmtId="175" fontId="10" fillId="33" borderId="0" xfId="0" applyNumberFormat="1" applyFont="1" applyFill="1" applyBorder="1" applyAlignment="1" applyProtection="1">
      <alignment horizontal="center" vertical="center" wrapText="1"/>
      <protection locked="0"/>
    </xf>
    <xf numFmtId="174" fontId="13" fillId="33" borderId="0" xfId="0" applyNumberFormat="1" applyFont="1" applyFill="1" applyBorder="1" applyAlignment="1" applyProtection="1">
      <alignment horizontal="center" vertical="center" wrapText="1"/>
      <protection locked="0"/>
    </xf>
    <xf numFmtId="183" fontId="8" fillId="33" borderId="20" xfId="0" applyNumberFormat="1" applyFont="1" applyFill="1" applyBorder="1" applyAlignment="1" applyProtection="1">
      <alignment horizontal="center" vertical="center" wrapText="1"/>
      <protection locked="0"/>
    </xf>
    <xf numFmtId="176" fontId="10" fillId="33" borderId="0" xfId="0" applyNumberFormat="1" applyFont="1" applyFill="1" applyBorder="1" applyAlignment="1" applyProtection="1">
      <alignment horizontal="center" vertical="center" wrapText="1"/>
      <protection locked="0"/>
    </xf>
    <xf numFmtId="0" fontId="1" fillId="33" borderId="27" xfId="0" applyFont="1" applyFill="1" applyBorder="1" applyAlignment="1">
      <alignment vertical="center" wrapText="1"/>
    </xf>
    <xf numFmtId="0" fontId="18" fillId="33" borderId="27" xfId="0" applyFont="1" applyFill="1" applyBorder="1" applyAlignment="1">
      <alignment vertical="center" wrapText="1"/>
    </xf>
    <xf numFmtId="0" fontId="18" fillId="33" borderId="0" xfId="0" applyFont="1" applyFill="1" applyBorder="1" applyAlignment="1">
      <alignment vertical="center" wrapText="1"/>
    </xf>
    <xf numFmtId="0" fontId="9" fillId="33" borderId="27" xfId="0" applyFont="1" applyFill="1" applyBorder="1" applyAlignment="1">
      <alignment vertical="center" wrapText="1"/>
    </xf>
    <xf numFmtId="0" fontId="19" fillId="33" borderId="27" xfId="0" applyFont="1" applyFill="1" applyBorder="1" applyAlignment="1">
      <alignment vertical="center" wrapText="1"/>
    </xf>
    <xf numFmtId="0" fontId="19" fillId="33" borderId="0" xfId="0" applyFont="1" applyFill="1" applyBorder="1" applyAlignment="1">
      <alignment vertical="center" wrapText="1"/>
    </xf>
    <xf numFmtId="2" fontId="31" fillId="0" borderId="0" xfId="0" applyNumberFormat="1" applyFont="1" applyAlignment="1">
      <alignment/>
    </xf>
    <xf numFmtId="0" fontId="22" fillId="33" borderId="35" xfId="0" applyFont="1" applyFill="1" applyBorder="1" applyAlignment="1" applyProtection="1">
      <alignment horizontal="center" vertical="center" wrapText="1"/>
      <protection locked="0"/>
    </xf>
    <xf numFmtId="0" fontId="6" fillId="33" borderId="13" xfId="0" applyNumberFormat="1" applyFont="1" applyFill="1" applyBorder="1" applyAlignment="1" applyProtection="1">
      <alignment horizontal="right" vertical="center" wrapText="1"/>
      <protection locked="0"/>
    </xf>
    <xf numFmtId="0" fontId="0" fillId="33" borderId="0" xfId="0" applyFont="1" applyFill="1" applyBorder="1" applyAlignment="1">
      <alignment horizontal="center"/>
    </xf>
    <xf numFmtId="0" fontId="6" fillId="33" borderId="35" xfId="0" applyFont="1" applyFill="1" applyBorder="1" applyAlignment="1" applyProtection="1">
      <alignment horizontal="left" vertical="center" wrapText="1"/>
      <protection locked="0"/>
    </xf>
    <xf numFmtId="0" fontId="6" fillId="33" borderId="31" xfId="0" applyFont="1" applyFill="1" applyBorder="1" applyAlignment="1" applyProtection="1">
      <alignment horizontal="center" vertical="center" wrapText="1"/>
      <protection locked="0"/>
    </xf>
    <xf numFmtId="0" fontId="6" fillId="33" borderId="36" xfId="0" applyFont="1" applyFill="1" applyBorder="1" applyAlignment="1" applyProtection="1">
      <alignment horizontal="left" vertical="center" wrapText="1"/>
      <protection locked="0"/>
    </xf>
    <xf numFmtId="0" fontId="6" fillId="33" borderId="15" xfId="0" applyNumberFormat="1" applyFont="1" applyFill="1" applyBorder="1" applyAlignment="1" applyProtection="1">
      <alignment horizontal="right" vertical="center" wrapText="1"/>
      <protection locked="0"/>
    </xf>
    <xf numFmtId="0" fontId="6" fillId="33" borderId="37" xfId="0" applyNumberFormat="1" applyFont="1" applyFill="1" applyBorder="1" applyAlignment="1" applyProtection="1">
      <alignment horizontal="right" vertical="center" wrapText="1"/>
      <protection locked="0"/>
    </xf>
    <xf numFmtId="0" fontId="6" fillId="33" borderId="13" xfId="0" applyNumberFormat="1"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6" fillId="33" borderId="35" xfId="0" applyFont="1" applyFill="1" applyBorder="1" applyAlignment="1" applyProtection="1">
      <alignment horizontal="center" vertical="center"/>
      <protection locked="0"/>
    </xf>
    <xf numFmtId="49" fontId="6" fillId="33" borderId="38" xfId="0" applyNumberFormat="1" applyFont="1" applyFill="1" applyBorder="1" applyAlignment="1" applyProtection="1">
      <alignment horizontal="left" vertical="center"/>
      <protection locked="0"/>
    </xf>
    <xf numFmtId="0" fontId="6" fillId="33" borderId="11" xfId="0" applyFont="1" applyFill="1" applyBorder="1" applyAlignment="1" applyProtection="1">
      <alignment horizontal="center" vertical="center"/>
      <protection locked="0"/>
    </xf>
    <xf numFmtId="49" fontId="6" fillId="33" borderId="11" xfId="0" applyNumberFormat="1" applyFont="1" applyFill="1" applyBorder="1" applyAlignment="1" applyProtection="1">
      <alignment horizontal="center" vertical="center"/>
      <protection locked="0"/>
    </xf>
    <xf numFmtId="49" fontId="6" fillId="33" borderId="39" xfId="0" applyNumberFormat="1" applyFont="1" applyFill="1" applyBorder="1" applyAlignment="1" applyProtection="1">
      <alignment horizontal="left" vertical="center"/>
      <protection locked="0"/>
    </xf>
    <xf numFmtId="49" fontId="6" fillId="33" borderId="17" xfId="0" applyNumberFormat="1"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wrapText="1"/>
      <protection locked="0"/>
    </xf>
    <xf numFmtId="4" fontId="6" fillId="33" borderId="13" xfId="60" applyNumberFormat="1"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wrapText="1"/>
      <protection locked="0"/>
    </xf>
    <xf numFmtId="1" fontId="30" fillId="0" borderId="14" xfId="0" applyNumberFormat="1" applyFont="1" applyFill="1" applyBorder="1" applyAlignment="1">
      <alignment horizontal="left" vertical="center"/>
    </xf>
    <xf numFmtId="0" fontId="9" fillId="0" borderId="14" xfId="0" applyFont="1" applyFill="1" applyBorder="1" applyAlignment="1">
      <alignment horizontal="center" vertical="center"/>
    </xf>
    <xf numFmtId="1" fontId="30" fillId="0" borderId="14" xfId="49" applyNumberFormat="1" applyFont="1" applyFill="1" applyBorder="1" applyAlignment="1" applyProtection="1">
      <alignment horizontal="center" vertical="center"/>
      <protection/>
    </xf>
    <xf numFmtId="10" fontId="9" fillId="0" borderId="14" xfId="0" applyNumberFormat="1" applyFont="1" applyFill="1" applyBorder="1" applyAlignment="1">
      <alignment horizontal="center" vertical="center"/>
    </xf>
    <xf numFmtId="1" fontId="29" fillId="0" borderId="14"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4" fontId="9" fillId="0" borderId="14" xfId="0" applyNumberFormat="1" applyFont="1" applyFill="1" applyBorder="1" applyAlignment="1">
      <alignment horizontal="center" vertical="center"/>
    </xf>
    <xf numFmtId="4" fontId="9" fillId="36" borderId="14" xfId="0" applyNumberFormat="1" applyFont="1" applyFill="1" applyBorder="1" applyAlignment="1">
      <alignment horizontal="center" vertical="center" wrapText="1"/>
    </xf>
    <xf numFmtId="10" fontId="9" fillId="0" borderId="14" xfId="49" applyNumberFormat="1" applyFont="1" applyFill="1" applyBorder="1" applyAlignment="1" applyProtection="1">
      <alignment horizontal="center" vertical="center"/>
      <protection/>
    </xf>
    <xf numFmtId="1" fontId="18" fillId="0" borderId="14" xfId="49" applyNumberFormat="1" applyFont="1" applyFill="1" applyBorder="1" applyAlignment="1" applyProtection="1">
      <alignment horizontal="center" vertical="center"/>
      <protection/>
    </xf>
    <xf numFmtId="49" fontId="10" fillId="33" borderId="14" xfId="0" applyNumberFormat="1" applyFont="1" applyFill="1" applyBorder="1" applyAlignment="1">
      <alignment horizontal="left" vertical="center" wrapText="1"/>
    </xf>
    <xf numFmtId="49" fontId="10" fillId="33" borderId="14" xfId="0" applyNumberFormat="1" applyFont="1" applyFill="1" applyBorder="1" applyAlignment="1">
      <alignment horizontal="lef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180975</xdr:colOff>
      <xdr:row>0</xdr:row>
      <xdr:rowOff>628650</xdr:rowOff>
    </xdr:to>
    <xdr:grpSp>
      <xdr:nvGrpSpPr>
        <xdr:cNvPr id="1" name="Group 1"/>
        <xdr:cNvGrpSpPr>
          <a:grpSpLocks/>
        </xdr:cNvGrpSpPr>
      </xdr:nvGrpSpPr>
      <xdr:grpSpPr>
        <a:xfrm>
          <a:off x="0" y="0"/>
          <a:ext cx="952500" cy="628650"/>
          <a:chOff x="0" y="0"/>
          <a:chExt cx="1571" cy="997"/>
        </a:xfrm>
        <a:solidFill>
          <a:srgbClr val="FFFFFF"/>
        </a:solidFill>
      </xdr:grpSpPr>
      <xdr:sp>
        <xdr:nvSpPr>
          <xdr:cNvPr id="2" name="Rectangle 2"/>
          <xdr:cNvSpPr>
            <a:spLocks/>
          </xdr:cNvSpPr>
        </xdr:nvSpPr>
        <xdr:spPr>
          <a:xfrm>
            <a:off x="0" y="0"/>
            <a:ext cx="1571" cy="997"/>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 name="Picture 3"/>
          <xdr:cNvPicPr preferRelativeResize="1">
            <a:picLocks noChangeAspect="1"/>
          </xdr:cNvPicPr>
        </xdr:nvPicPr>
        <xdr:blipFill>
          <a:blip r:embed="rId1"/>
          <a:stretch>
            <a:fillRect/>
          </a:stretch>
        </xdr:blipFill>
        <xdr:spPr>
          <a:xfrm>
            <a:off x="0" y="0"/>
            <a:ext cx="1571" cy="997"/>
          </a:xfrm>
          <a:prstGeom prst="rect">
            <a:avLst/>
          </a:prstGeom>
          <a:noFill/>
          <a:ln w="9525" cmpd="sng">
            <a:noFill/>
          </a:ln>
        </xdr:spPr>
      </xdr:pic>
      <xdr:sp>
        <xdr:nvSpPr>
          <xdr:cNvPr id="4" name="Rectangle 4"/>
          <xdr:cNvSpPr>
            <a:spLocks/>
          </xdr:cNvSpPr>
        </xdr:nvSpPr>
        <xdr:spPr>
          <a:xfrm>
            <a:off x="0" y="0"/>
            <a:ext cx="1571" cy="997"/>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180975</xdr:colOff>
      <xdr:row>0</xdr:row>
      <xdr:rowOff>628650</xdr:rowOff>
    </xdr:to>
    <xdr:grpSp>
      <xdr:nvGrpSpPr>
        <xdr:cNvPr id="5" name="Group 1"/>
        <xdr:cNvGrpSpPr>
          <a:grpSpLocks/>
        </xdr:cNvGrpSpPr>
      </xdr:nvGrpSpPr>
      <xdr:grpSpPr>
        <a:xfrm>
          <a:off x="0" y="0"/>
          <a:ext cx="952500" cy="628650"/>
          <a:chOff x="0" y="0"/>
          <a:chExt cx="1571" cy="997"/>
        </a:xfrm>
        <a:solidFill>
          <a:srgbClr val="FFFFFF"/>
        </a:solidFill>
      </xdr:grpSpPr>
      <xdr:sp>
        <xdr:nvSpPr>
          <xdr:cNvPr id="6" name="Rectangle 2"/>
          <xdr:cNvSpPr>
            <a:spLocks/>
          </xdr:cNvSpPr>
        </xdr:nvSpPr>
        <xdr:spPr>
          <a:xfrm>
            <a:off x="0" y="0"/>
            <a:ext cx="1571" cy="997"/>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Picture 3"/>
          <xdr:cNvPicPr preferRelativeResize="1">
            <a:picLocks noChangeAspect="1"/>
          </xdr:cNvPicPr>
        </xdr:nvPicPr>
        <xdr:blipFill>
          <a:blip r:embed="rId1"/>
          <a:stretch>
            <a:fillRect/>
          </a:stretch>
        </xdr:blipFill>
        <xdr:spPr>
          <a:xfrm>
            <a:off x="0" y="0"/>
            <a:ext cx="1571" cy="997"/>
          </a:xfrm>
          <a:prstGeom prst="rect">
            <a:avLst/>
          </a:prstGeom>
          <a:noFill/>
          <a:ln w="9525" cmpd="sng">
            <a:noFill/>
          </a:ln>
        </xdr:spPr>
      </xdr:pic>
      <xdr:sp>
        <xdr:nvSpPr>
          <xdr:cNvPr id="8" name="Rectangle 4"/>
          <xdr:cNvSpPr>
            <a:spLocks/>
          </xdr:cNvSpPr>
        </xdr:nvSpPr>
        <xdr:spPr>
          <a:xfrm>
            <a:off x="0" y="0"/>
            <a:ext cx="1571" cy="997"/>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21"/>
  <sheetViews>
    <sheetView tabSelected="1" view="pageBreakPreview" zoomScale="62" zoomScaleNormal="93" zoomScaleSheetLayoutView="62" zoomScalePageLayoutView="0" workbookViewId="0" topLeftCell="A211">
      <selection activeCell="M453" sqref="M453"/>
    </sheetView>
  </sheetViews>
  <sheetFormatPr defaultColWidth="8.421875" defaultRowHeight="15"/>
  <cols>
    <col min="1" max="1" width="11.57421875" style="1" customWidth="1"/>
    <col min="2" max="2" width="96.8515625" style="2" customWidth="1"/>
    <col min="3" max="3" width="20.57421875" style="3" customWidth="1"/>
    <col min="4" max="4" width="26.57421875" style="4" customWidth="1"/>
    <col min="5" max="6" width="19.8515625" style="5" customWidth="1"/>
    <col min="7" max="7" width="17.28125" style="4" customWidth="1"/>
    <col min="8" max="8" width="34.140625" style="6" customWidth="1"/>
    <col min="9" max="9" width="24.00390625" style="7" customWidth="1"/>
    <col min="10" max="10" width="11.8515625" style="8" customWidth="1"/>
    <col min="11" max="11" width="8.421875" style="9" customWidth="1"/>
    <col min="12" max="12" width="13.28125" style="9" customWidth="1"/>
    <col min="13" max="13" width="16.28125" style="9" bestFit="1" customWidth="1"/>
    <col min="14" max="16384" width="8.421875" style="9" customWidth="1"/>
  </cols>
  <sheetData>
    <row r="1" spans="1:10" s="11" customFormat="1" ht="49.5" customHeight="1">
      <c r="A1" s="10"/>
      <c r="B1" s="179" t="s">
        <v>532</v>
      </c>
      <c r="C1" s="179"/>
      <c r="D1" s="179"/>
      <c r="E1" s="179"/>
      <c r="F1" s="179"/>
      <c r="G1" s="179"/>
      <c r="H1" s="179"/>
      <c r="I1" s="179"/>
      <c r="J1" s="179"/>
    </row>
    <row r="2" spans="1:10" s="14" customFormat="1" ht="24.75" customHeight="1">
      <c r="A2" s="180" t="s">
        <v>535</v>
      </c>
      <c r="B2" s="180"/>
      <c r="C2" s="181"/>
      <c r="D2" s="181"/>
      <c r="E2" s="12"/>
      <c r="F2" s="145"/>
      <c r="G2" s="13"/>
      <c r="H2" s="182" t="s">
        <v>533</v>
      </c>
      <c r="I2" s="182"/>
      <c r="J2" s="182"/>
    </row>
    <row r="3" spans="1:10" s="14" customFormat="1" ht="24.75" customHeight="1">
      <c r="A3" s="183" t="s">
        <v>527</v>
      </c>
      <c r="B3" s="183"/>
      <c r="C3" s="15" t="s">
        <v>0</v>
      </c>
      <c r="D3" s="16">
        <v>0.05</v>
      </c>
      <c r="E3" s="17" t="s">
        <v>1</v>
      </c>
      <c r="F3" s="18"/>
      <c r="G3" s="18"/>
      <c r="H3" s="18"/>
      <c r="I3" s="18"/>
      <c r="J3" s="18"/>
    </row>
    <row r="4" spans="1:10" s="11" customFormat="1" ht="26.25" customHeight="1">
      <c r="A4" s="184" t="s">
        <v>2</v>
      </c>
      <c r="B4" s="185" t="s">
        <v>3</v>
      </c>
      <c r="C4" s="185" t="s">
        <v>4</v>
      </c>
      <c r="D4" s="186" t="s">
        <v>5</v>
      </c>
      <c r="E4" s="186"/>
      <c r="F4" s="146"/>
      <c r="G4" s="20">
        <f>G453</f>
        <v>572825.0858777601</v>
      </c>
      <c r="H4" s="187" t="s">
        <v>6</v>
      </c>
      <c r="I4" s="187"/>
      <c r="J4" s="187"/>
    </row>
    <row r="5" spans="1:12" s="22" customFormat="1" ht="37.5" customHeight="1">
      <c r="A5" s="184"/>
      <c r="B5" s="185"/>
      <c r="C5" s="185"/>
      <c r="D5" s="19" t="s">
        <v>7</v>
      </c>
      <c r="E5" s="21" t="s">
        <v>8</v>
      </c>
      <c r="F5" s="21" t="s">
        <v>534</v>
      </c>
      <c r="G5" s="19" t="s">
        <v>9</v>
      </c>
      <c r="H5" s="178" t="s">
        <v>10</v>
      </c>
      <c r="I5" s="178"/>
      <c r="J5" s="178"/>
      <c r="L5" s="23"/>
    </row>
    <row r="6" spans="1:12" s="32" customFormat="1" ht="18.75">
      <c r="A6" s="24" t="s">
        <v>11</v>
      </c>
      <c r="B6" s="25" t="s">
        <v>12</v>
      </c>
      <c r="C6" s="26"/>
      <c r="D6" s="27"/>
      <c r="E6" s="28"/>
      <c r="F6" s="28"/>
      <c r="G6" s="29"/>
      <c r="H6" s="30"/>
      <c r="I6" s="30"/>
      <c r="J6" s="31"/>
      <c r="L6" s="33"/>
    </row>
    <row r="7" spans="1:13" s="32" customFormat="1" ht="31.5">
      <c r="A7" s="34" t="s">
        <v>13</v>
      </c>
      <c r="B7" s="35" t="s">
        <v>14</v>
      </c>
      <c r="C7" s="36" t="s">
        <v>15</v>
      </c>
      <c r="D7" s="37">
        <f>28*18</f>
        <v>504</v>
      </c>
      <c r="E7" s="37">
        <v>7.61</v>
      </c>
      <c r="F7" s="37">
        <f>ROUND(E7*1.2288,2)</f>
        <v>9.35</v>
      </c>
      <c r="G7" s="38">
        <f>ROUND(F7*D7,2)</f>
        <v>4712.4</v>
      </c>
      <c r="H7" s="39" t="s">
        <v>16</v>
      </c>
      <c r="I7" s="40" t="s">
        <v>17</v>
      </c>
      <c r="J7" s="41"/>
      <c r="L7" s="42">
        <f>D7*F7</f>
        <v>4712.4</v>
      </c>
      <c r="M7" s="32">
        <f>D7*E7</f>
        <v>3835.44</v>
      </c>
    </row>
    <row r="8" spans="1:21" s="32" customFormat="1" ht="93.75" customHeight="1">
      <c r="A8" s="43"/>
      <c r="B8" s="44" t="s">
        <v>18</v>
      </c>
      <c r="C8" s="36"/>
      <c r="D8" s="37"/>
      <c r="E8" s="37"/>
      <c r="F8" s="37"/>
      <c r="G8" s="38"/>
      <c r="H8" s="45"/>
      <c r="I8" s="46"/>
      <c r="J8" s="41"/>
      <c r="K8" s="162"/>
      <c r="L8" s="42">
        <f aca="true" t="shared" si="0" ref="L8:L19">D8*F8</f>
        <v>0</v>
      </c>
      <c r="M8" s="32">
        <f aca="true" t="shared" si="1" ref="M8:M71">D8*E8</f>
        <v>0</v>
      </c>
      <c r="N8" s="72"/>
      <c r="O8" s="72"/>
      <c r="P8" s="72"/>
      <c r="Q8" s="72"/>
      <c r="R8" s="72"/>
      <c r="S8" s="72"/>
      <c r="T8" s="72"/>
      <c r="U8" s="72"/>
    </row>
    <row r="9" spans="1:13" s="32" customFormat="1" ht="18.75">
      <c r="A9" s="43"/>
      <c r="B9" s="44"/>
      <c r="C9" s="36"/>
      <c r="D9" s="37"/>
      <c r="E9" s="37"/>
      <c r="F9" s="37"/>
      <c r="G9" s="38"/>
      <c r="H9" s="30"/>
      <c r="I9" s="40"/>
      <c r="J9" s="41"/>
      <c r="L9" s="42">
        <f t="shared" si="0"/>
        <v>0</v>
      </c>
      <c r="M9" s="32">
        <f t="shared" si="1"/>
        <v>0</v>
      </c>
    </row>
    <row r="10" spans="1:13" s="32" customFormat="1" ht="18.75">
      <c r="A10" s="43"/>
      <c r="B10" s="44"/>
      <c r="C10" s="36"/>
      <c r="D10" s="37"/>
      <c r="E10" s="37"/>
      <c r="F10" s="37"/>
      <c r="G10" s="38"/>
      <c r="H10" s="30"/>
      <c r="I10" s="40"/>
      <c r="J10" s="41"/>
      <c r="L10" s="42">
        <f t="shared" si="0"/>
        <v>0</v>
      </c>
      <c r="M10" s="32">
        <f t="shared" si="1"/>
        <v>0</v>
      </c>
    </row>
    <row r="11" spans="1:13" s="32" customFormat="1" ht="31.5">
      <c r="A11" s="43" t="s">
        <v>19</v>
      </c>
      <c r="B11" s="47" t="s">
        <v>20</v>
      </c>
      <c r="C11" s="36" t="s">
        <v>21</v>
      </c>
      <c r="D11" s="37">
        <v>1</v>
      </c>
      <c r="E11" s="37">
        <v>1121.47</v>
      </c>
      <c r="F11" s="37">
        <f>ROUND(E11*1.2288,2)</f>
        <v>1378.06</v>
      </c>
      <c r="G11" s="38">
        <f>ROUND(F11*D11,2)</f>
        <v>1378.06</v>
      </c>
      <c r="H11" s="30">
        <v>1</v>
      </c>
      <c r="I11" s="40" t="s">
        <v>22</v>
      </c>
      <c r="J11" s="41"/>
      <c r="L11" s="42">
        <f t="shared" si="0"/>
        <v>1378.06</v>
      </c>
      <c r="M11" s="32">
        <f t="shared" si="1"/>
        <v>1121.47</v>
      </c>
    </row>
    <row r="12" spans="1:13" s="32" customFormat="1" ht="126">
      <c r="A12" s="43"/>
      <c r="B12" s="48" t="s">
        <v>23</v>
      </c>
      <c r="C12" s="36"/>
      <c r="D12" s="37"/>
      <c r="E12" s="37"/>
      <c r="F12" s="37"/>
      <c r="G12" s="38"/>
      <c r="H12" s="49"/>
      <c r="I12" s="50"/>
      <c r="J12" s="41"/>
      <c r="L12" s="42">
        <f t="shared" si="0"/>
        <v>0</v>
      </c>
      <c r="M12" s="32">
        <f t="shared" si="1"/>
        <v>0</v>
      </c>
    </row>
    <row r="13" spans="1:13" s="32" customFormat="1" ht="18.75">
      <c r="A13" s="43"/>
      <c r="B13" s="51"/>
      <c r="C13" s="36"/>
      <c r="D13" s="37"/>
      <c r="E13" s="37"/>
      <c r="F13" s="37"/>
      <c r="G13" s="38"/>
      <c r="H13" s="30"/>
      <c r="I13" s="40"/>
      <c r="J13" s="41"/>
      <c r="L13" s="42">
        <f t="shared" si="0"/>
        <v>0</v>
      </c>
      <c r="M13" s="32">
        <f t="shared" si="1"/>
        <v>0</v>
      </c>
    </row>
    <row r="14" spans="1:13" s="32" customFormat="1" ht="31.5">
      <c r="A14" s="43" t="s">
        <v>24</v>
      </c>
      <c r="B14" s="51" t="s">
        <v>25</v>
      </c>
      <c r="C14" s="36" t="s">
        <v>26</v>
      </c>
      <c r="D14" s="37">
        <f>31*21+3*3</f>
        <v>660</v>
      </c>
      <c r="E14" s="37">
        <v>1.04</v>
      </c>
      <c r="F14" s="37">
        <f>ROUND(E14*1.2288,2)</f>
        <v>1.28</v>
      </c>
      <c r="G14" s="38">
        <f>ROUND(F14*D14,2)</f>
        <v>844.8</v>
      </c>
      <c r="H14" s="30" t="s">
        <v>27</v>
      </c>
      <c r="I14" s="40" t="s">
        <v>28</v>
      </c>
      <c r="J14" s="41"/>
      <c r="L14" s="42">
        <f t="shared" si="0"/>
        <v>844.8000000000001</v>
      </c>
      <c r="M14" s="32">
        <f t="shared" si="1"/>
        <v>686.4</v>
      </c>
    </row>
    <row r="15" spans="1:13" s="32" customFormat="1" ht="126">
      <c r="A15" s="43"/>
      <c r="B15" s="44" t="s">
        <v>29</v>
      </c>
      <c r="C15" s="36"/>
      <c r="D15" s="37"/>
      <c r="E15" s="37"/>
      <c r="F15" s="37"/>
      <c r="G15" s="38"/>
      <c r="H15" s="52"/>
      <c r="I15" s="31"/>
      <c r="J15" s="41"/>
      <c r="L15" s="42">
        <f t="shared" si="0"/>
        <v>0</v>
      </c>
      <c r="M15" s="32">
        <f t="shared" si="1"/>
        <v>0</v>
      </c>
    </row>
    <row r="16" spans="1:13" s="32" customFormat="1" ht="18.75">
      <c r="A16" s="43"/>
      <c r="B16" s="51"/>
      <c r="C16" s="36"/>
      <c r="D16" s="37"/>
      <c r="E16" s="37"/>
      <c r="F16" s="37"/>
      <c r="G16" s="38"/>
      <c r="H16" s="30"/>
      <c r="I16" s="40"/>
      <c r="J16" s="41"/>
      <c r="L16" s="42">
        <f t="shared" si="0"/>
        <v>0</v>
      </c>
      <c r="M16" s="32">
        <f>D16*E16</f>
        <v>0</v>
      </c>
    </row>
    <row r="17" spans="1:13" s="32" customFormat="1" ht="18.75">
      <c r="A17" s="43"/>
      <c r="B17" s="51"/>
      <c r="C17" s="36"/>
      <c r="D17" s="37"/>
      <c r="E17" s="37"/>
      <c r="F17" s="37"/>
      <c r="G17" s="38"/>
      <c r="H17" s="30"/>
      <c r="I17" s="40"/>
      <c r="J17" s="41"/>
      <c r="L17" s="42">
        <f t="shared" si="0"/>
        <v>0</v>
      </c>
      <c r="M17" s="32">
        <f t="shared" si="1"/>
        <v>0</v>
      </c>
    </row>
    <row r="18" spans="1:13" s="32" customFormat="1" ht="32.25" customHeight="1">
      <c r="A18" s="43" t="s">
        <v>30</v>
      </c>
      <c r="B18" s="51" t="s">
        <v>31</v>
      </c>
      <c r="C18" s="36" t="s">
        <v>15</v>
      </c>
      <c r="D18" s="150">
        <f>3.3*3.3</f>
        <v>10.889999999999999</v>
      </c>
      <c r="E18" s="37">
        <v>418.27</v>
      </c>
      <c r="F18" s="37">
        <f>ROUND(E18*1.2288,2)</f>
        <v>513.97</v>
      </c>
      <c r="G18" s="38">
        <f>ROUND(F18*D18,2)</f>
        <v>5597.13</v>
      </c>
      <c r="H18" s="30" t="s">
        <v>32</v>
      </c>
      <c r="I18" s="40" t="s">
        <v>33</v>
      </c>
      <c r="J18" s="41"/>
      <c r="L18" s="42">
        <f t="shared" si="0"/>
        <v>5597.1332999999995</v>
      </c>
      <c r="M18" s="32">
        <f t="shared" si="1"/>
        <v>4554.9603</v>
      </c>
    </row>
    <row r="19" spans="1:13" s="32" customFormat="1" ht="220.5">
      <c r="A19" s="43"/>
      <c r="B19" s="44" t="s">
        <v>34</v>
      </c>
      <c r="C19" s="36"/>
      <c r="D19" s="37"/>
      <c r="E19" s="37"/>
      <c r="F19" s="37"/>
      <c r="G19" s="38"/>
      <c r="H19" s="52"/>
      <c r="I19" s="31"/>
      <c r="J19" s="41"/>
      <c r="L19" s="42">
        <f t="shared" si="0"/>
        <v>0</v>
      </c>
      <c r="M19" s="32">
        <f t="shared" si="1"/>
        <v>0</v>
      </c>
    </row>
    <row r="20" spans="1:13" s="32" customFormat="1" ht="18.75">
      <c r="A20" s="43"/>
      <c r="B20" s="44"/>
      <c r="C20" s="36"/>
      <c r="D20" s="37"/>
      <c r="E20" s="37"/>
      <c r="F20" s="37"/>
      <c r="G20" s="38"/>
      <c r="H20" s="30"/>
      <c r="I20" s="40"/>
      <c r="J20" s="41"/>
      <c r="L20" s="168">
        <f>SUM(L7:L19)</f>
        <v>12532.3933</v>
      </c>
      <c r="M20" s="32">
        <f t="shared" si="1"/>
        <v>0</v>
      </c>
    </row>
    <row r="21" spans="1:14" s="32" customFormat="1" ht="18" customHeight="1">
      <c r="A21" s="43"/>
      <c r="B21" s="51"/>
      <c r="C21" s="177" t="s">
        <v>35</v>
      </c>
      <c r="D21" s="177"/>
      <c r="E21" s="177"/>
      <c r="F21" s="147"/>
      <c r="G21" s="53">
        <f>SUM(G7:G20)</f>
        <v>12532.39</v>
      </c>
      <c r="H21" s="30"/>
      <c r="I21" s="40"/>
      <c r="J21" s="41"/>
      <c r="K21" s="54"/>
      <c r="L21" s="42"/>
      <c r="M21" s="32">
        <f t="shared" si="1"/>
        <v>0</v>
      </c>
      <c r="N21" s="54"/>
    </row>
    <row r="22" spans="1:13" s="32" customFormat="1" ht="18.75">
      <c r="A22" s="24" t="s">
        <v>36</v>
      </c>
      <c r="B22" s="25" t="s">
        <v>37</v>
      </c>
      <c r="C22" s="26"/>
      <c r="D22" s="26"/>
      <c r="E22" s="37"/>
      <c r="F22" s="37"/>
      <c r="G22" s="38"/>
      <c r="H22" s="30"/>
      <c r="I22" s="40"/>
      <c r="J22" s="41"/>
      <c r="L22" s="42"/>
      <c r="M22" s="32">
        <f t="shared" si="1"/>
        <v>0</v>
      </c>
    </row>
    <row r="23" spans="1:13" s="32" customFormat="1" ht="150" customHeight="1">
      <c r="A23" s="43" t="s">
        <v>38</v>
      </c>
      <c r="B23" s="51" t="s">
        <v>39</v>
      </c>
      <c r="C23" s="36" t="s">
        <v>40</v>
      </c>
      <c r="D23" s="153">
        <v>10.04</v>
      </c>
      <c r="E23" s="37">
        <v>53.41</v>
      </c>
      <c r="F23" s="37">
        <f>ROUND(E23*1.2288,2)</f>
        <v>65.63</v>
      </c>
      <c r="G23" s="38">
        <f>ROUND(F23*D23,2)</f>
        <v>658.93</v>
      </c>
      <c r="H23" s="30" t="s">
        <v>41</v>
      </c>
      <c r="I23" s="40" t="s">
        <v>42</v>
      </c>
      <c r="J23" s="41"/>
      <c r="L23" s="42">
        <f>D23*F23</f>
        <v>658.9251999999999</v>
      </c>
      <c r="M23" s="32">
        <f t="shared" si="1"/>
        <v>536.2363999999999</v>
      </c>
    </row>
    <row r="24" spans="1:13" s="32" customFormat="1" ht="63">
      <c r="A24" s="43"/>
      <c r="B24" s="44" t="s">
        <v>43</v>
      </c>
      <c r="C24" s="36"/>
      <c r="D24" s="55"/>
      <c r="E24" s="37"/>
      <c r="F24" s="37"/>
      <c r="G24" s="38"/>
      <c r="H24" s="30"/>
      <c r="I24" s="40"/>
      <c r="J24" s="41"/>
      <c r="L24" s="42">
        <f aca="true" t="shared" si="2" ref="L24:L38">D24*F24</f>
        <v>0</v>
      </c>
      <c r="M24" s="32">
        <f t="shared" si="1"/>
        <v>0</v>
      </c>
    </row>
    <row r="25" spans="1:13" s="32" customFormat="1" ht="18.75">
      <c r="A25" s="43"/>
      <c r="B25" s="51"/>
      <c r="C25" s="36"/>
      <c r="D25" s="55"/>
      <c r="E25" s="37"/>
      <c r="F25" s="37"/>
      <c r="G25" s="38"/>
      <c r="H25" s="30"/>
      <c r="I25" s="40"/>
      <c r="J25" s="41"/>
      <c r="L25" s="42">
        <f t="shared" si="2"/>
        <v>0</v>
      </c>
      <c r="M25" s="32">
        <f t="shared" si="1"/>
        <v>0</v>
      </c>
    </row>
    <row r="26" spans="1:13" s="32" customFormat="1" ht="225">
      <c r="A26" s="43" t="s">
        <v>44</v>
      </c>
      <c r="B26" s="51" t="s">
        <v>45</v>
      </c>
      <c r="C26" s="36" t="s">
        <v>40</v>
      </c>
      <c r="D26" s="156">
        <v>31.5</v>
      </c>
      <c r="E26" s="37">
        <v>53.41</v>
      </c>
      <c r="F26" s="37">
        <f>ROUND(E26*1.2288,2)</f>
        <v>65.63</v>
      </c>
      <c r="G26" s="38">
        <f>ROUND(F26*D26,2)</f>
        <v>2067.35</v>
      </c>
      <c r="H26" s="37" t="s">
        <v>46</v>
      </c>
      <c r="I26" s="40" t="s">
        <v>47</v>
      </c>
      <c r="J26" s="41"/>
      <c r="L26" s="42">
        <f t="shared" si="2"/>
        <v>2067.345</v>
      </c>
      <c r="M26" s="32">
        <f t="shared" si="1"/>
        <v>1682.415</v>
      </c>
    </row>
    <row r="27" spans="1:13" s="32" customFormat="1" ht="63">
      <c r="A27" s="43"/>
      <c r="B27" s="44" t="s">
        <v>48</v>
      </c>
      <c r="C27" s="36"/>
      <c r="D27" s="37"/>
      <c r="E27" s="37"/>
      <c r="F27" s="37"/>
      <c r="G27" s="38"/>
      <c r="H27" s="30"/>
      <c r="I27" s="40"/>
      <c r="J27" s="41"/>
      <c r="L27" s="42">
        <f t="shared" si="2"/>
        <v>0</v>
      </c>
      <c r="M27" s="32">
        <f t="shared" si="1"/>
        <v>0</v>
      </c>
    </row>
    <row r="28" spans="1:13" s="32" customFormat="1" ht="18.75">
      <c r="A28" s="43"/>
      <c r="B28" s="51"/>
      <c r="C28" s="36"/>
      <c r="D28" s="37"/>
      <c r="E28" s="37"/>
      <c r="F28" s="37"/>
      <c r="G28" s="38"/>
      <c r="H28" s="30"/>
      <c r="I28" s="40"/>
      <c r="J28" s="41"/>
      <c r="L28" s="42">
        <f t="shared" si="2"/>
        <v>0</v>
      </c>
      <c r="M28" s="32">
        <f t="shared" si="1"/>
        <v>0</v>
      </c>
    </row>
    <row r="29" spans="1:13" s="32" customFormat="1" ht="31.5">
      <c r="A29" s="43" t="s">
        <v>49</v>
      </c>
      <c r="B29" s="51" t="s">
        <v>50</v>
      </c>
      <c r="C29" s="36" t="s">
        <v>40</v>
      </c>
      <c r="D29" s="156">
        <v>9.02</v>
      </c>
      <c r="E29" s="37">
        <v>31.42</v>
      </c>
      <c r="F29" s="37">
        <f>ROUND(E29*1.2288,2)</f>
        <v>38.61</v>
      </c>
      <c r="G29" s="38">
        <f>ROUND(F29*D29,2)</f>
        <v>348.26</v>
      </c>
      <c r="H29" s="30" t="s">
        <v>51</v>
      </c>
      <c r="I29" s="40" t="s">
        <v>52</v>
      </c>
      <c r="J29" s="41"/>
      <c r="L29" s="42">
        <f t="shared" si="2"/>
        <v>348.26219999999995</v>
      </c>
      <c r="M29" s="32">
        <f t="shared" si="1"/>
        <v>283.40840000000003</v>
      </c>
    </row>
    <row r="30" spans="1:13" s="32" customFormat="1" ht="47.25">
      <c r="A30" s="43"/>
      <c r="B30" s="44" t="s">
        <v>53</v>
      </c>
      <c r="C30" s="36"/>
      <c r="D30" s="37"/>
      <c r="E30" s="37"/>
      <c r="F30" s="37"/>
      <c r="G30" s="38"/>
      <c r="H30" s="30"/>
      <c r="I30" s="40"/>
      <c r="J30" s="41"/>
      <c r="L30" s="42">
        <f t="shared" si="2"/>
        <v>0</v>
      </c>
      <c r="M30" s="32">
        <f t="shared" si="1"/>
        <v>0</v>
      </c>
    </row>
    <row r="31" spans="1:13" s="32" customFormat="1" ht="18.75">
      <c r="A31" s="43"/>
      <c r="B31" s="51"/>
      <c r="C31" s="36"/>
      <c r="D31" s="37"/>
      <c r="E31" s="37"/>
      <c r="F31" s="37"/>
      <c r="G31" s="38"/>
      <c r="H31" s="30"/>
      <c r="I31" s="40"/>
      <c r="J31" s="41"/>
      <c r="L31" s="42">
        <f t="shared" si="2"/>
        <v>0</v>
      </c>
      <c r="M31" s="32">
        <f t="shared" si="1"/>
        <v>0</v>
      </c>
    </row>
    <row r="32" spans="1:13" s="32" customFormat="1" ht="18.75">
      <c r="A32" s="43"/>
      <c r="B32" s="51"/>
      <c r="C32" s="36"/>
      <c r="D32" s="37"/>
      <c r="E32" s="37"/>
      <c r="F32" s="37"/>
      <c r="G32" s="38"/>
      <c r="H32" s="30"/>
      <c r="I32" s="40"/>
      <c r="J32" s="41"/>
      <c r="L32" s="42">
        <f t="shared" si="2"/>
        <v>0</v>
      </c>
      <c r="M32" s="32">
        <f t="shared" si="1"/>
        <v>0</v>
      </c>
    </row>
    <row r="33" spans="1:13" s="32" customFormat="1" ht="141.75">
      <c r="A33" s="43" t="s">
        <v>54</v>
      </c>
      <c r="B33" s="51" t="s">
        <v>55</v>
      </c>
      <c r="C33" s="36" t="s">
        <v>40</v>
      </c>
      <c r="D33" s="156">
        <v>4.18</v>
      </c>
      <c r="E33" s="37">
        <v>53.41</v>
      </c>
      <c r="F33" s="37">
        <f>ROUND(E33*1.2288,2)</f>
        <v>65.63</v>
      </c>
      <c r="G33" s="38">
        <f>ROUND(F33*D33,2)</f>
        <v>274.33</v>
      </c>
      <c r="H33" s="30" t="s">
        <v>56</v>
      </c>
      <c r="I33" s="40" t="s">
        <v>47</v>
      </c>
      <c r="J33" s="41"/>
      <c r="L33" s="42">
        <f t="shared" si="2"/>
        <v>274.3334</v>
      </c>
      <c r="M33" s="32">
        <f t="shared" si="1"/>
        <v>223.25379999999998</v>
      </c>
    </row>
    <row r="34" spans="1:13" s="32" customFormat="1" ht="46.5" customHeight="1">
      <c r="A34" s="43"/>
      <c r="B34" s="44" t="s">
        <v>57</v>
      </c>
      <c r="C34" s="36"/>
      <c r="D34" s="37"/>
      <c r="E34" s="37"/>
      <c r="F34" s="37"/>
      <c r="G34" s="38"/>
      <c r="H34" s="30"/>
      <c r="I34" s="40"/>
      <c r="J34" s="41"/>
      <c r="L34" s="42">
        <f t="shared" si="2"/>
        <v>0</v>
      </c>
      <c r="M34" s="32">
        <f t="shared" si="1"/>
        <v>0</v>
      </c>
    </row>
    <row r="35" spans="1:13" s="32" customFormat="1" ht="18.75">
      <c r="A35" s="43"/>
      <c r="B35" s="51"/>
      <c r="C35" s="36"/>
      <c r="D35" s="37"/>
      <c r="E35" s="37"/>
      <c r="F35" s="37"/>
      <c r="G35" s="38"/>
      <c r="H35" s="30"/>
      <c r="I35" s="40"/>
      <c r="J35" s="41"/>
      <c r="L35" s="42">
        <f t="shared" si="2"/>
        <v>0</v>
      </c>
      <c r="M35" s="32">
        <f t="shared" si="1"/>
        <v>0</v>
      </c>
    </row>
    <row r="36" spans="1:13" s="32" customFormat="1" ht="18.75">
      <c r="A36" s="43"/>
      <c r="B36" s="44"/>
      <c r="C36" s="36"/>
      <c r="D36" s="55"/>
      <c r="E36" s="37"/>
      <c r="F36" s="37"/>
      <c r="G36" s="38"/>
      <c r="H36" s="30"/>
      <c r="I36" s="40"/>
      <c r="J36" s="41"/>
      <c r="L36" s="42">
        <f t="shared" si="2"/>
        <v>0</v>
      </c>
      <c r="M36" s="32">
        <f t="shared" si="1"/>
        <v>0</v>
      </c>
    </row>
    <row r="37" spans="1:13" s="32" customFormat="1" ht="31.5">
      <c r="A37" s="43" t="s">
        <v>58</v>
      </c>
      <c r="B37" s="51" t="s">
        <v>59</v>
      </c>
      <c r="C37" s="36" t="s">
        <v>40</v>
      </c>
      <c r="D37" s="156">
        <v>10.77</v>
      </c>
      <c r="E37" s="37">
        <v>279.14</v>
      </c>
      <c r="F37" s="37">
        <f>ROUND(E37*1.2288,2)</f>
        <v>343.01</v>
      </c>
      <c r="G37" s="38">
        <f>ROUND(F37*D37,2)</f>
        <v>3694.22</v>
      </c>
      <c r="H37" s="30" t="s">
        <v>60</v>
      </c>
      <c r="I37" s="40" t="s">
        <v>61</v>
      </c>
      <c r="J37" s="41"/>
      <c r="L37" s="42">
        <f t="shared" si="2"/>
        <v>3694.2176999999997</v>
      </c>
      <c r="M37" s="32">
        <f t="shared" si="1"/>
        <v>3006.3378</v>
      </c>
    </row>
    <row r="38" spans="1:13" s="32" customFormat="1" ht="78.75">
      <c r="A38" s="43"/>
      <c r="B38" s="44" t="s">
        <v>62</v>
      </c>
      <c r="C38" s="36"/>
      <c r="D38" s="37"/>
      <c r="E38" s="37"/>
      <c r="F38" s="37"/>
      <c r="G38" s="38"/>
      <c r="H38" s="30"/>
      <c r="I38" s="40"/>
      <c r="J38" s="41"/>
      <c r="L38" s="42">
        <f t="shared" si="2"/>
        <v>0</v>
      </c>
      <c r="M38" s="32">
        <f t="shared" si="1"/>
        <v>0</v>
      </c>
    </row>
    <row r="39" spans="1:13" s="32" customFormat="1" ht="18.75">
      <c r="A39" s="43"/>
      <c r="B39" s="51"/>
      <c r="C39" s="36"/>
      <c r="D39" s="37"/>
      <c r="E39" s="37"/>
      <c r="F39" s="37"/>
      <c r="G39" s="38"/>
      <c r="H39" s="30"/>
      <c r="I39" s="40"/>
      <c r="J39" s="41"/>
      <c r="L39" s="168">
        <f>SUM(L23:L38)</f>
        <v>7043.0835</v>
      </c>
      <c r="M39" s="32">
        <f t="shared" si="1"/>
        <v>0</v>
      </c>
    </row>
    <row r="40" spans="1:13" s="32" customFormat="1" ht="18" customHeight="1">
      <c r="A40" s="43"/>
      <c r="B40" s="56" t="s">
        <v>63</v>
      </c>
      <c r="C40" s="177" t="s">
        <v>35</v>
      </c>
      <c r="D40" s="177"/>
      <c r="E40" s="177"/>
      <c r="F40" s="147"/>
      <c r="G40" s="53">
        <f>SUM(G23:G39)</f>
        <v>7043.09</v>
      </c>
      <c r="H40" s="30"/>
      <c r="I40" s="40"/>
      <c r="J40" s="41"/>
      <c r="L40" s="42"/>
      <c r="M40" s="32">
        <f t="shared" si="1"/>
        <v>0</v>
      </c>
    </row>
    <row r="41" spans="1:13" s="32" customFormat="1" ht="18.75">
      <c r="A41" s="24" t="s">
        <v>64</v>
      </c>
      <c r="B41" s="25" t="s">
        <v>65</v>
      </c>
      <c r="C41" s="26"/>
      <c r="D41" s="27"/>
      <c r="E41" s="28"/>
      <c r="F41" s="71"/>
      <c r="G41" s="38"/>
      <c r="H41" s="30"/>
      <c r="I41" s="40"/>
      <c r="J41" s="41"/>
      <c r="L41" s="42"/>
      <c r="M41" s="32">
        <f t="shared" si="1"/>
        <v>0</v>
      </c>
    </row>
    <row r="42" spans="1:13" s="32" customFormat="1" ht="18.75">
      <c r="A42" s="43" t="s">
        <v>66</v>
      </c>
      <c r="B42" s="35" t="s">
        <v>67</v>
      </c>
      <c r="C42" s="36" t="s">
        <v>68</v>
      </c>
      <c r="D42" s="157">
        <f>33.8*35</f>
        <v>1183</v>
      </c>
      <c r="E42" s="37">
        <v>13.27</v>
      </c>
      <c r="F42" s="37">
        <f>ROUND(E42*1.2288,2)</f>
        <v>16.31</v>
      </c>
      <c r="G42" s="38">
        <f>ROUND(F42*D42,2)</f>
        <v>19294.73</v>
      </c>
      <c r="H42" s="58" t="s">
        <v>69</v>
      </c>
      <c r="I42" s="40" t="s">
        <v>70</v>
      </c>
      <c r="J42" s="41"/>
      <c r="L42" s="42">
        <f>D42*F42</f>
        <v>19294.73</v>
      </c>
      <c r="M42" s="32">
        <f t="shared" si="1"/>
        <v>15698.41</v>
      </c>
    </row>
    <row r="43" spans="1:13" s="32" customFormat="1" ht="78.75">
      <c r="A43" s="43"/>
      <c r="B43" s="44" t="s">
        <v>71</v>
      </c>
      <c r="C43" s="36"/>
      <c r="D43" s="57"/>
      <c r="E43" s="37"/>
      <c r="F43" s="37"/>
      <c r="G43" s="38"/>
      <c r="H43" s="30"/>
      <c r="I43" s="40"/>
      <c r="J43" s="41"/>
      <c r="L43" s="42">
        <f aca="true" t="shared" si="3" ref="L43:L62">D43*F43</f>
        <v>0</v>
      </c>
      <c r="M43" s="32">
        <f t="shared" si="1"/>
        <v>0</v>
      </c>
    </row>
    <row r="44" spans="1:13" s="32" customFormat="1" ht="18.75">
      <c r="A44" s="43"/>
      <c r="B44" s="44"/>
      <c r="C44" s="36"/>
      <c r="D44" s="57"/>
      <c r="E44" s="37"/>
      <c r="F44" s="37"/>
      <c r="G44" s="38"/>
      <c r="H44" s="30"/>
      <c r="I44" s="40"/>
      <c r="J44" s="41"/>
      <c r="L44" s="42">
        <f t="shared" si="3"/>
        <v>0</v>
      </c>
      <c r="M44" s="32">
        <f t="shared" si="1"/>
        <v>0</v>
      </c>
    </row>
    <row r="45" spans="1:13" s="32" customFormat="1" ht="78.75">
      <c r="A45" s="43" t="s">
        <v>72</v>
      </c>
      <c r="B45" s="51" t="s">
        <v>73</v>
      </c>
      <c r="C45" s="36" t="s">
        <v>26</v>
      </c>
      <c r="D45" s="158">
        <f>28*0.4*4+18*0.4*4+21.62*0.4*4+(3.75+1.66)*0.4*2+15.4*0.4*6+(3.74+2.58)*0.4*2+1.24*0.4*2+4.7*0.4*2+1.82*0.4*2+4.22*0.4*2+0.7*0.4*4*14+15*0.4*4*0.4</f>
        <v>189.4</v>
      </c>
      <c r="E45" s="37">
        <v>47.03</v>
      </c>
      <c r="F45" s="37">
        <f>ROUND(E45*1.2288,2)</f>
        <v>57.79</v>
      </c>
      <c r="G45" s="38">
        <f>ROUND(F45*D45,2)</f>
        <v>10945.43</v>
      </c>
      <c r="H45" s="30" t="s">
        <v>74</v>
      </c>
      <c r="I45" s="40" t="s">
        <v>70</v>
      </c>
      <c r="J45" s="41"/>
      <c r="L45" s="42">
        <f t="shared" si="3"/>
        <v>10945.426</v>
      </c>
      <c r="M45" s="32">
        <f t="shared" si="1"/>
        <v>8907.482</v>
      </c>
    </row>
    <row r="46" spans="1:13" s="32" customFormat="1" ht="64.5" customHeight="1">
      <c r="A46" s="43"/>
      <c r="B46" s="44" t="s">
        <v>75</v>
      </c>
      <c r="C46" s="36"/>
      <c r="D46" s="37"/>
      <c r="E46" s="37"/>
      <c r="F46" s="37"/>
      <c r="G46" s="38"/>
      <c r="H46" s="30"/>
      <c r="I46" s="40"/>
      <c r="J46" s="41"/>
      <c r="L46" s="42">
        <f t="shared" si="3"/>
        <v>0</v>
      </c>
      <c r="M46" s="32">
        <f t="shared" si="1"/>
        <v>0</v>
      </c>
    </row>
    <row r="47" spans="1:13" s="32" customFormat="1" ht="18.75">
      <c r="A47" s="43"/>
      <c r="B47" s="44"/>
      <c r="C47" s="36"/>
      <c r="D47" s="37"/>
      <c r="E47" s="37"/>
      <c r="F47" s="37"/>
      <c r="G47" s="38"/>
      <c r="H47" s="30"/>
      <c r="I47" s="40"/>
      <c r="J47" s="41"/>
      <c r="L47" s="42">
        <f t="shared" si="3"/>
        <v>0</v>
      </c>
      <c r="M47" s="32">
        <f t="shared" si="1"/>
        <v>0</v>
      </c>
    </row>
    <row r="48" spans="1:13" s="32" customFormat="1" ht="31.5">
      <c r="A48" s="43" t="s">
        <v>76</v>
      </c>
      <c r="B48" s="51" t="s">
        <v>77</v>
      </c>
      <c r="C48" s="36" t="s">
        <v>40</v>
      </c>
      <c r="D48" s="150">
        <v>0.424353</v>
      </c>
      <c r="E48" s="37">
        <v>1709</v>
      </c>
      <c r="F48" s="37">
        <f>ROUND(E48*1.2288,2)</f>
        <v>2100.02</v>
      </c>
      <c r="G48" s="38">
        <f>ROUND(F48*D48,2)</f>
        <v>891.15</v>
      </c>
      <c r="H48" s="30" t="s">
        <v>78</v>
      </c>
      <c r="I48" s="40" t="s">
        <v>79</v>
      </c>
      <c r="J48" s="41"/>
      <c r="L48" s="42">
        <f t="shared" si="3"/>
        <v>891.14978706</v>
      </c>
      <c r="M48" s="32">
        <f t="shared" si="1"/>
        <v>725.2192769999999</v>
      </c>
    </row>
    <row r="49" spans="1:13" s="32" customFormat="1" ht="174.75" customHeight="1">
      <c r="A49" s="43"/>
      <c r="B49" s="44" t="s">
        <v>80</v>
      </c>
      <c r="C49" s="36"/>
      <c r="D49" s="37"/>
      <c r="E49" s="37"/>
      <c r="F49" s="82"/>
      <c r="G49" s="59"/>
      <c r="H49" s="30"/>
      <c r="I49" s="40"/>
      <c r="J49" s="41"/>
      <c r="L49" s="42">
        <f t="shared" si="3"/>
        <v>0</v>
      </c>
      <c r="M49" s="32">
        <f t="shared" si="1"/>
        <v>0</v>
      </c>
    </row>
    <row r="50" spans="1:13" s="32" customFormat="1" ht="18.75">
      <c r="A50" s="43"/>
      <c r="B50" s="60"/>
      <c r="C50" s="36"/>
      <c r="D50" s="37"/>
      <c r="E50" s="37"/>
      <c r="F50" s="82"/>
      <c r="G50" s="59"/>
      <c r="H50" s="30"/>
      <c r="I50" s="40"/>
      <c r="J50" s="41"/>
      <c r="L50" s="42">
        <f t="shared" si="3"/>
        <v>0</v>
      </c>
      <c r="M50" s="32">
        <f t="shared" si="1"/>
        <v>0</v>
      </c>
    </row>
    <row r="51" spans="1:13" s="32" customFormat="1" ht="141.75">
      <c r="A51" s="43" t="s">
        <v>81</v>
      </c>
      <c r="B51" s="51" t="s">
        <v>82</v>
      </c>
      <c r="C51" s="36" t="s">
        <v>83</v>
      </c>
      <c r="D51" s="159">
        <v>33.8</v>
      </c>
      <c r="E51" s="37">
        <v>403.86</v>
      </c>
      <c r="F51" s="37">
        <f>ROUND(E51*1.2288,2)</f>
        <v>496.26</v>
      </c>
      <c r="G51" s="38">
        <f>ROUND(F51*D51,2)</f>
        <v>16773.59</v>
      </c>
      <c r="H51" s="30" t="s">
        <v>84</v>
      </c>
      <c r="I51" s="40" t="s">
        <v>70</v>
      </c>
      <c r="J51" s="41"/>
      <c r="L51" s="42">
        <f t="shared" si="3"/>
        <v>16773.588</v>
      </c>
      <c r="M51" s="32">
        <f t="shared" si="1"/>
        <v>13650.467999999999</v>
      </c>
    </row>
    <row r="52" spans="1:13" s="32" customFormat="1" ht="78" customHeight="1">
      <c r="A52" s="43"/>
      <c r="B52" s="44" t="s">
        <v>85</v>
      </c>
      <c r="C52" s="36"/>
      <c r="D52" s="37"/>
      <c r="E52" s="37"/>
      <c r="F52" s="37"/>
      <c r="G52" s="38"/>
      <c r="H52" s="30"/>
      <c r="I52" s="40"/>
      <c r="J52" s="41"/>
      <c r="L52" s="42">
        <f t="shared" si="3"/>
        <v>0</v>
      </c>
      <c r="M52" s="32">
        <f t="shared" si="1"/>
        <v>0</v>
      </c>
    </row>
    <row r="53" spans="1:13" s="32" customFormat="1" ht="18.75">
      <c r="A53" s="43"/>
      <c r="B53" s="44"/>
      <c r="C53" s="36"/>
      <c r="D53" s="37"/>
      <c r="E53" s="37"/>
      <c r="F53" s="37"/>
      <c r="G53" s="38"/>
      <c r="H53" s="30"/>
      <c r="I53" s="40"/>
      <c r="J53" s="41"/>
      <c r="L53" s="42">
        <f t="shared" si="3"/>
        <v>0</v>
      </c>
      <c r="M53" s="32">
        <f t="shared" si="1"/>
        <v>0</v>
      </c>
    </row>
    <row r="54" spans="1:13" s="32" customFormat="1" ht="111" customHeight="1">
      <c r="A54" s="43" t="s">
        <v>86</v>
      </c>
      <c r="B54" s="51" t="s">
        <v>87</v>
      </c>
      <c r="C54" s="36" t="s">
        <v>26</v>
      </c>
      <c r="D54" s="160">
        <v>66.38</v>
      </c>
      <c r="E54" s="37">
        <v>44.98</v>
      </c>
      <c r="F54" s="37">
        <f>ROUND(E54*1.2288,2)</f>
        <v>55.27</v>
      </c>
      <c r="G54" s="38">
        <f>ROUND(F54*D54,2)</f>
        <v>3668.82</v>
      </c>
      <c r="H54" s="30" t="s">
        <v>88</v>
      </c>
      <c r="I54" s="40" t="s">
        <v>70</v>
      </c>
      <c r="J54" s="41"/>
      <c r="L54" s="42">
        <f t="shared" si="3"/>
        <v>3668.8226</v>
      </c>
      <c r="M54" s="32">
        <f t="shared" si="1"/>
        <v>2985.7723999999994</v>
      </c>
    </row>
    <row r="55" spans="1:13" s="32" customFormat="1" ht="47.25">
      <c r="A55" s="43"/>
      <c r="B55" s="44" t="s">
        <v>89</v>
      </c>
      <c r="C55" s="36"/>
      <c r="D55" s="37"/>
      <c r="E55" s="37"/>
      <c r="F55" s="37"/>
      <c r="G55" s="38"/>
      <c r="H55" s="30"/>
      <c r="I55" s="40"/>
      <c r="J55" s="41"/>
      <c r="L55" s="42">
        <f t="shared" si="3"/>
        <v>0</v>
      </c>
      <c r="M55" s="32">
        <f t="shared" si="1"/>
        <v>0</v>
      </c>
    </row>
    <row r="56" spans="1:13" s="32" customFormat="1" ht="18.75">
      <c r="A56" s="43"/>
      <c r="B56" s="44"/>
      <c r="C56" s="36"/>
      <c r="D56" s="37"/>
      <c r="E56" s="37"/>
      <c r="F56" s="37"/>
      <c r="G56" s="38"/>
      <c r="H56" s="30"/>
      <c r="I56" s="40"/>
      <c r="J56" s="41"/>
      <c r="L56" s="42">
        <f t="shared" si="3"/>
        <v>0</v>
      </c>
      <c r="M56" s="32">
        <f t="shared" si="1"/>
        <v>0</v>
      </c>
    </row>
    <row r="57" spans="1:13" s="32" customFormat="1" ht="18.75">
      <c r="A57" s="43"/>
      <c r="B57" s="48"/>
      <c r="C57" s="61"/>
      <c r="D57" s="62"/>
      <c r="E57" s="37"/>
      <c r="F57" s="82"/>
      <c r="G57" s="59"/>
      <c r="H57" s="39"/>
      <c r="I57" s="40"/>
      <c r="J57" s="41"/>
      <c r="L57" s="42">
        <f t="shared" si="3"/>
        <v>0</v>
      </c>
      <c r="M57" s="32">
        <f t="shared" si="1"/>
        <v>0</v>
      </c>
    </row>
    <row r="58" spans="1:13" s="32" customFormat="1" ht="18.75">
      <c r="A58" s="43" t="s">
        <v>90</v>
      </c>
      <c r="B58" s="63" t="s">
        <v>91</v>
      </c>
      <c r="C58" s="64"/>
      <c r="D58" s="55"/>
      <c r="E58" s="37"/>
      <c r="F58" s="37"/>
      <c r="G58" s="38"/>
      <c r="H58" s="39"/>
      <c r="I58" s="40"/>
      <c r="J58" s="41"/>
      <c r="L58" s="42">
        <f t="shared" si="3"/>
        <v>0</v>
      </c>
      <c r="M58" s="32">
        <f t="shared" si="1"/>
        <v>0</v>
      </c>
    </row>
    <row r="59" spans="1:13" s="32" customFormat="1" ht="18.75">
      <c r="A59" s="43" t="s">
        <v>92</v>
      </c>
      <c r="B59" s="51" t="s">
        <v>93</v>
      </c>
      <c r="C59" s="64" t="s">
        <v>21</v>
      </c>
      <c r="D59" s="55">
        <v>1</v>
      </c>
      <c r="E59" s="37">
        <v>700</v>
      </c>
      <c r="F59" s="37">
        <f>ROUND(E59*1.2288,2)</f>
        <v>860.16</v>
      </c>
      <c r="G59" s="38">
        <f>ROUND(F59*D59,2)</f>
        <v>860.16</v>
      </c>
      <c r="H59" s="55">
        <v>1</v>
      </c>
      <c r="I59" s="40" t="s">
        <v>94</v>
      </c>
      <c r="J59" s="41"/>
      <c r="L59" s="42">
        <f t="shared" si="3"/>
        <v>860.16</v>
      </c>
      <c r="M59" s="32">
        <f t="shared" si="1"/>
        <v>700</v>
      </c>
    </row>
    <row r="60" spans="1:13" s="32" customFormat="1" ht="63">
      <c r="A60" s="43"/>
      <c r="B60" s="44" t="s">
        <v>95</v>
      </c>
      <c r="C60" s="64"/>
      <c r="D60" s="55"/>
      <c r="E60" s="37"/>
      <c r="F60" s="37"/>
      <c r="G60" s="38"/>
      <c r="H60" s="39"/>
      <c r="I60" s="40"/>
      <c r="J60" s="41"/>
      <c r="L60" s="42">
        <f t="shared" si="3"/>
        <v>0</v>
      </c>
      <c r="M60" s="32">
        <f t="shared" si="1"/>
        <v>0</v>
      </c>
    </row>
    <row r="61" spans="1:13" s="32" customFormat="1" ht="18.75">
      <c r="A61" s="43"/>
      <c r="B61" s="44"/>
      <c r="C61" s="64"/>
      <c r="D61" s="55"/>
      <c r="E61" s="37"/>
      <c r="F61" s="37"/>
      <c r="G61" s="38"/>
      <c r="H61" s="39"/>
      <c r="I61" s="40"/>
      <c r="J61" s="41"/>
      <c r="L61" s="42">
        <f t="shared" si="3"/>
        <v>0</v>
      </c>
      <c r="M61" s="32">
        <f t="shared" si="1"/>
        <v>0</v>
      </c>
    </row>
    <row r="62" spans="1:13" s="32" customFormat="1" ht="78.75">
      <c r="A62" s="43" t="s">
        <v>96</v>
      </c>
      <c r="B62" s="51" t="s">
        <v>97</v>
      </c>
      <c r="C62" s="64" t="s">
        <v>98</v>
      </c>
      <c r="D62" s="55">
        <v>51</v>
      </c>
      <c r="E62" s="37">
        <v>75.62</v>
      </c>
      <c r="F62" s="37">
        <f>ROUND(E62*1.2288,2)</f>
        <v>92.92</v>
      </c>
      <c r="G62" s="38">
        <f>ROUND(F62*D62,2)</f>
        <v>4738.92</v>
      </c>
      <c r="H62" s="39"/>
      <c r="I62" s="40" t="s">
        <v>99</v>
      </c>
      <c r="J62" s="41"/>
      <c r="L62" s="42">
        <f t="shared" si="3"/>
        <v>4738.92</v>
      </c>
      <c r="M62" s="32">
        <f t="shared" si="1"/>
        <v>3856.6200000000003</v>
      </c>
    </row>
    <row r="63" spans="1:13" s="32" customFormat="1" ht="63">
      <c r="A63" s="43"/>
      <c r="B63" s="44" t="s">
        <v>100</v>
      </c>
      <c r="C63" s="64"/>
      <c r="D63" s="55"/>
      <c r="E63" s="37"/>
      <c r="F63" s="37"/>
      <c r="G63" s="38"/>
      <c r="H63" s="39"/>
      <c r="I63" s="40"/>
      <c r="J63" s="41"/>
      <c r="L63" s="42"/>
      <c r="M63" s="32">
        <f t="shared" si="1"/>
        <v>0</v>
      </c>
    </row>
    <row r="64" spans="1:13" s="32" customFormat="1" ht="18" customHeight="1">
      <c r="A64" s="65"/>
      <c r="B64" s="66"/>
      <c r="C64" s="177" t="s">
        <v>35</v>
      </c>
      <c r="D64" s="177"/>
      <c r="E64" s="177"/>
      <c r="F64" s="147"/>
      <c r="G64" s="53">
        <f>SUM(G42:G63)</f>
        <v>57172.8</v>
      </c>
      <c r="H64" s="30"/>
      <c r="I64" s="40"/>
      <c r="J64" s="41"/>
      <c r="L64" s="168">
        <f>SUM(K42:L63)</f>
        <v>57172.79638706</v>
      </c>
      <c r="M64" s="32">
        <f t="shared" si="1"/>
        <v>0</v>
      </c>
    </row>
    <row r="65" spans="1:13" s="32" customFormat="1" ht="18.75">
      <c r="A65" s="24" t="s">
        <v>101</v>
      </c>
      <c r="B65" s="25" t="s">
        <v>102</v>
      </c>
      <c r="C65" s="26"/>
      <c r="D65" s="26"/>
      <c r="E65" s="37"/>
      <c r="F65" s="37"/>
      <c r="G65" s="38"/>
      <c r="H65" s="30"/>
      <c r="I65" s="40"/>
      <c r="J65" s="41"/>
      <c r="L65" s="42"/>
      <c r="M65" s="32">
        <f t="shared" si="1"/>
        <v>0</v>
      </c>
    </row>
    <row r="66" spans="1:13" s="32" customFormat="1" ht="18.75">
      <c r="A66" s="43"/>
      <c r="B66" s="44"/>
      <c r="C66" s="36"/>
      <c r="D66" s="55"/>
      <c r="E66" s="37"/>
      <c r="F66" s="37"/>
      <c r="G66" s="38"/>
      <c r="H66" s="30"/>
      <c r="I66" s="40"/>
      <c r="J66" s="41"/>
      <c r="L66" s="42"/>
      <c r="M66" s="32">
        <f t="shared" si="1"/>
        <v>0</v>
      </c>
    </row>
    <row r="67" spans="1:13" s="32" customFormat="1" ht="63">
      <c r="A67" s="43" t="s">
        <v>103</v>
      </c>
      <c r="B67" s="51" t="s">
        <v>104</v>
      </c>
      <c r="C67" s="36" t="s">
        <v>40</v>
      </c>
      <c r="D67" s="150">
        <v>2.57</v>
      </c>
      <c r="E67" s="37">
        <v>2349.32</v>
      </c>
      <c r="F67" s="37">
        <f>ROUND(E67*1.2288,2)</f>
        <v>2886.84</v>
      </c>
      <c r="G67" s="38">
        <f>ROUND(F67*D67,2)</f>
        <v>7419.18</v>
      </c>
      <c r="H67" s="30" t="s">
        <v>105</v>
      </c>
      <c r="I67" s="40" t="s">
        <v>106</v>
      </c>
      <c r="J67" s="41"/>
      <c r="L67" s="42">
        <f aca="true" t="shared" si="4" ref="L67:L72">D67*F67</f>
        <v>7419.1788</v>
      </c>
      <c r="M67" s="32">
        <f t="shared" si="1"/>
        <v>6037.7524</v>
      </c>
    </row>
    <row r="68" spans="1:13" s="32" customFormat="1" ht="180" customHeight="1">
      <c r="A68" s="43"/>
      <c r="B68" s="44" t="s">
        <v>107</v>
      </c>
      <c r="C68" s="36"/>
      <c r="D68" s="37"/>
      <c r="E68" s="37"/>
      <c r="F68" s="37"/>
      <c r="G68" s="38"/>
      <c r="H68" s="30"/>
      <c r="I68" s="40"/>
      <c r="J68" s="41"/>
      <c r="L68" s="42">
        <f t="shared" si="4"/>
        <v>0</v>
      </c>
      <c r="M68" s="32">
        <f t="shared" si="1"/>
        <v>0</v>
      </c>
    </row>
    <row r="69" spans="1:13" s="32" customFormat="1" ht="18.75">
      <c r="A69" s="43"/>
      <c r="B69" s="51"/>
      <c r="C69" s="36"/>
      <c r="D69" s="37"/>
      <c r="E69" s="37"/>
      <c r="F69" s="37"/>
      <c r="G69" s="38"/>
      <c r="H69" s="30"/>
      <c r="I69" s="40"/>
      <c r="J69" s="41"/>
      <c r="L69" s="42">
        <f t="shared" si="4"/>
        <v>0</v>
      </c>
      <c r="M69" s="32">
        <f t="shared" si="1"/>
        <v>0</v>
      </c>
    </row>
    <row r="70" spans="1:13" s="32" customFormat="1" ht="18.75">
      <c r="A70" s="43"/>
      <c r="B70" s="44"/>
      <c r="C70" s="36"/>
      <c r="D70" s="55"/>
      <c r="E70" s="37"/>
      <c r="F70" s="37"/>
      <c r="G70" s="38"/>
      <c r="H70" s="30"/>
      <c r="I70" s="40"/>
      <c r="J70" s="41"/>
      <c r="L70" s="42">
        <f t="shared" si="4"/>
        <v>0</v>
      </c>
      <c r="M70" s="32">
        <f t="shared" si="1"/>
        <v>0</v>
      </c>
    </row>
    <row r="71" spans="1:13" s="32" customFormat="1" ht="63">
      <c r="A71" s="43" t="s">
        <v>108</v>
      </c>
      <c r="B71" s="51" t="s">
        <v>109</v>
      </c>
      <c r="C71" s="36" t="s">
        <v>26</v>
      </c>
      <c r="D71" s="55">
        <v>83.84</v>
      </c>
      <c r="E71" s="37">
        <v>238.9</v>
      </c>
      <c r="F71" s="37">
        <f>ROUND(E71*1.2288,2)</f>
        <v>293.56</v>
      </c>
      <c r="G71" s="38">
        <f>ROUND(F71*D71,2)</f>
        <v>24612.07</v>
      </c>
      <c r="H71" s="30" t="s">
        <v>110</v>
      </c>
      <c r="I71" s="40" t="s">
        <v>111</v>
      </c>
      <c r="J71" s="41"/>
      <c r="L71" s="42">
        <f t="shared" si="4"/>
        <v>24612.0704</v>
      </c>
      <c r="M71" s="32">
        <f t="shared" si="1"/>
        <v>20029.376</v>
      </c>
    </row>
    <row r="72" spans="1:13" s="32" customFormat="1" ht="141.75">
      <c r="A72" s="43"/>
      <c r="B72" s="44" t="s">
        <v>112</v>
      </c>
      <c r="C72" s="36"/>
      <c r="D72" s="55"/>
      <c r="E72" s="37"/>
      <c r="F72" s="37"/>
      <c r="G72" s="38"/>
      <c r="H72" s="30"/>
      <c r="I72" s="40"/>
      <c r="J72" s="41"/>
      <c r="L72" s="42">
        <f t="shared" si="4"/>
        <v>0</v>
      </c>
      <c r="M72" s="32">
        <f aca="true" t="shared" si="5" ref="M72:M135">D72*E72</f>
        <v>0</v>
      </c>
    </row>
    <row r="73" spans="1:13" s="32" customFormat="1" ht="18.75">
      <c r="A73" s="43"/>
      <c r="B73" s="44"/>
      <c r="C73" s="36"/>
      <c r="D73" s="55"/>
      <c r="E73" s="37"/>
      <c r="F73" s="37"/>
      <c r="G73" s="38"/>
      <c r="H73" s="30"/>
      <c r="I73" s="40"/>
      <c r="J73" s="41"/>
      <c r="L73" s="168">
        <f>SUM(K67:L72)</f>
        <v>32031.2492</v>
      </c>
      <c r="M73" s="32">
        <f t="shared" si="5"/>
        <v>0</v>
      </c>
    </row>
    <row r="74" spans="1:13" s="32" customFormat="1" ht="18" customHeight="1">
      <c r="A74" s="65"/>
      <c r="B74" s="67"/>
      <c r="C74" s="177" t="s">
        <v>35</v>
      </c>
      <c r="D74" s="177"/>
      <c r="E74" s="177"/>
      <c r="F74" s="147"/>
      <c r="G74" s="53">
        <f>SUM(G66:G73)</f>
        <v>32031.25</v>
      </c>
      <c r="H74" s="30"/>
      <c r="I74" s="40"/>
      <c r="J74" s="41"/>
      <c r="L74" s="42"/>
      <c r="M74" s="32">
        <f t="shared" si="5"/>
        <v>0</v>
      </c>
    </row>
    <row r="75" spans="1:13" s="32" customFormat="1" ht="18.75">
      <c r="A75" s="24" t="s">
        <v>113</v>
      </c>
      <c r="B75" s="25" t="s">
        <v>114</v>
      </c>
      <c r="C75" s="68"/>
      <c r="D75" s="69"/>
      <c r="E75" s="28"/>
      <c r="F75" s="71"/>
      <c r="G75" s="38"/>
      <c r="H75" s="30"/>
      <c r="I75" s="40"/>
      <c r="J75" s="41"/>
      <c r="L75" s="42"/>
      <c r="M75" s="32">
        <f t="shared" si="5"/>
        <v>0</v>
      </c>
    </row>
    <row r="76" spans="1:13" s="32" customFormat="1" ht="18.75">
      <c r="A76" s="34" t="s">
        <v>115</v>
      </c>
      <c r="B76" s="70" t="s">
        <v>116</v>
      </c>
      <c r="C76" s="36"/>
      <c r="D76" s="55"/>
      <c r="E76" s="71"/>
      <c r="F76" s="71"/>
      <c r="G76" s="38"/>
      <c r="H76" s="30"/>
      <c r="I76" s="40"/>
      <c r="J76" s="41"/>
      <c r="L76" s="42"/>
      <c r="M76" s="32">
        <f t="shared" si="5"/>
        <v>0</v>
      </c>
    </row>
    <row r="77" spans="1:13" s="32" customFormat="1" ht="18.75">
      <c r="A77" s="43"/>
      <c r="B77" s="44"/>
      <c r="C77" s="36"/>
      <c r="D77" s="55"/>
      <c r="E77" s="37"/>
      <c r="F77" s="37"/>
      <c r="G77" s="38"/>
      <c r="H77" s="30"/>
      <c r="I77" s="40"/>
      <c r="J77" s="41"/>
      <c r="L77" s="42"/>
      <c r="M77" s="32">
        <f t="shared" si="5"/>
        <v>0</v>
      </c>
    </row>
    <row r="78" spans="1:13" s="32" customFormat="1" ht="126">
      <c r="A78" s="43" t="s">
        <v>117</v>
      </c>
      <c r="B78" s="51" t="s">
        <v>118</v>
      </c>
      <c r="C78" s="36" t="s">
        <v>26</v>
      </c>
      <c r="D78" s="161">
        <v>281.83</v>
      </c>
      <c r="E78" s="37">
        <v>44.47</v>
      </c>
      <c r="F78" s="37">
        <f>ROUND(E78*1.2288,2)</f>
        <v>54.64</v>
      </c>
      <c r="G78" s="38">
        <f>ROUND(F78*D78,2)</f>
        <v>15399.19</v>
      </c>
      <c r="H78" s="30" t="s">
        <v>119</v>
      </c>
      <c r="I78" s="40" t="s">
        <v>120</v>
      </c>
      <c r="J78" s="41"/>
      <c r="L78" s="42"/>
      <c r="M78" s="32">
        <f t="shared" si="5"/>
        <v>12532.980099999999</v>
      </c>
    </row>
    <row r="79" spans="1:13" s="72" customFormat="1" ht="94.5" customHeight="1">
      <c r="A79" s="43"/>
      <c r="B79" s="44" t="s">
        <v>121</v>
      </c>
      <c r="C79" s="36"/>
      <c r="D79" s="55"/>
      <c r="E79" s="37"/>
      <c r="F79" s="37"/>
      <c r="G79" s="38"/>
      <c r="H79" s="30"/>
      <c r="I79" s="40"/>
      <c r="J79" s="41"/>
      <c r="L79" s="42"/>
      <c r="M79" s="32">
        <f t="shared" si="5"/>
        <v>0</v>
      </c>
    </row>
    <row r="80" spans="1:13" s="72" customFormat="1" ht="18.75">
      <c r="A80" s="43"/>
      <c r="B80" s="44"/>
      <c r="C80" s="36"/>
      <c r="D80" s="55"/>
      <c r="E80" s="37"/>
      <c r="F80" s="37"/>
      <c r="G80" s="38"/>
      <c r="H80" s="30"/>
      <c r="I80" s="40"/>
      <c r="J80" s="41"/>
      <c r="L80" s="42"/>
      <c r="M80" s="32">
        <f t="shared" si="5"/>
        <v>0</v>
      </c>
    </row>
    <row r="81" spans="1:13" s="32" customFormat="1" ht="18" customHeight="1">
      <c r="A81" s="73"/>
      <c r="B81" s="67"/>
      <c r="C81" s="177" t="s">
        <v>35</v>
      </c>
      <c r="D81" s="177"/>
      <c r="E81" s="177"/>
      <c r="F81" s="147"/>
      <c r="G81" s="53">
        <f>SUM(G77:G80)</f>
        <v>15399.19</v>
      </c>
      <c r="H81" s="30"/>
      <c r="I81" s="40"/>
      <c r="J81" s="41"/>
      <c r="L81" s="168">
        <f>D78*F78</f>
        <v>15399.1912</v>
      </c>
      <c r="M81" s="32">
        <f t="shared" si="5"/>
        <v>0</v>
      </c>
    </row>
    <row r="82" spans="1:13" s="32" customFormat="1" ht="18.75">
      <c r="A82" s="24" t="s">
        <v>122</v>
      </c>
      <c r="B82" s="25" t="s">
        <v>123</v>
      </c>
      <c r="C82" s="26"/>
      <c r="D82" s="69"/>
      <c r="E82" s="37"/>
      <c r="F82" s="37"/>
      <c r="G82" s="38"/>
      <c r="H82" s="30"/>
      <c r="I82" s="40"/>
      <c r="J82" s="41"/>
      <c r="L82" s="42"/>
      <c r="M82" s="32">
        <f t="shared" si="5"/>
        <v>0</v>
      </c>
    </row>
    <row r="83" spans="1:13" s="32" customFormat="1" ht="18.75">
      <c r="A83" s="34" t="s">
        <v>124</v>
      </c>
      <c r="B83" s="70" t="s">
        <v>125</v>
      </c>
      <c r="C83" s="64"/>
      <c r="D83" s="55"/>
      <c r="E83" s="37"/>
      <c r="F83" s="37"/>
      <c r="G83" s="38"/>
      <c r="H83" s="30"/>
      <c r="I83" s="40"/>
      <c r="J83" s="41"/>
      <c r="L83" s="42"/>
      <c r="M83" s="32">
        <f t="shared" si="5"/>
        <v>0</v>
      </c>
    </row>
    <row r="84" spans="1:13" s="32" customFormat="1" ht="18.75">
      <c r="A84" s="43" t="s">
        <v>126</v>
      </c>
      <c r="B84" s="63" t="s">
        <v>127</v>
      </c>
      <c r="C84" s="36"/>
      <c r="D84" s="55"/>
      <c r="E84" s="37"/>
      <c r="F84" s="37"/>
      <c r="G84" s="38"/>
      <c r="H84" s="30"/>
      <c r="I84" s="40"/>
      <c r="J84" s="41"/>
      <c r="L84" s="42"/>
      <c r="M84" s="32">
        <f t="shared" si="5"/>
        <v>0</v>
      </c>
    </row>
    <row r="85" spans="1:13" s="32" customFormat="1" ht="67.5" customHeight="1">
      <c r="A85" s="43"/>
      <c r="B85" s="44" t="s">
        <v>128</v>
      </c>
      <c r="C85" s="36"/>
      <c r="D85" s="55"/>
      <c r="E85" s="37"/>
      <c r="F85" s="37"/>
      <c r="G85" s="38"/>
      <c r="H85" s="30"/>
      <c r="I85" s="40"/>
      <c r="J85" s="41"/>
      <c r="L85" s="42"/>
      <c r="M85" s="32">
        <f t="shared" si="5"/>
        <v>0</v>
      </c>
    </row>
    <row r="86" spans="1:13" s="32" customFormat="1" ht="18.75">
      <c r="A86" s="43"/>
      <c r="B86" s="44"/>
      <c r="C86" s="36"/>
      <c r="D86" s="55"/>
      <c r="E86" s="37"/>
      <c r="F86" s="37"/>
      <c r="G86" s="38"/>
      <c r="H86" s="30"/>
      <c r="I86" s="40"/>
      <c r="J86" s="41"/>
      <c r="L86" s="42"/>
      <c r="M86" s="32">
        <f t="shared" si="5"/>
        <v>0</v>
      </c>
    </row>
    <row r="87" spans="1:13" s="32" customFormat="1" ht="18.75">
      <c r="A87" s="43"/>
      <c r="B87" s="44"/>
      <c r="C87" s="36"/>
      <c r="D87" s="55"/>
      <c r="E87" s="37"/>
      <c r="F87" s="37"/>
      <c r="G87" s="38"/>
      <c r="H87" s="30"/>
      <c r="I87" s="40"/>
      <c r="J87" s="41"/>
      <c r="L87" s="42"/>
      <c r="M87" s="32">
        <f t="shared" si="5"/>
        <v>0</v>
      </c>
    </row>
    <row r="88" spans="1:13" s="32" customFormat="1" ht="31.5">
      <c r="A88" s="43" t="s">
        <v>129</v>
      </c>
      <c r="B88" s="51" t="s">
        <v>130</v>
      </c>
      <c r="C88" s="36" t="s">
        <v>98</v>
      </c>
      <c r="D88" s="55">
        <f>28*2</f>
        <v>56</v>
      </c>
      <c r="E88" s="37">
        <v>69.65</v>
      </c>
      <c r="F88" s="37">
        <f>ROUND(E88*1.2288,2)</f>
        <v>85.59</v>
      </c>
      <c r="G88" s="38">
        <f>ROUND(F88*D88,2)</f>
        <v>4793.04</v>
      </c>
      <c r="H88" s="55" t="s">
        <v>131</v>
      </c>
      <c r="I88" s="40" t="s">
        <v>132</v>
      </c>
      <c r="J88" s="41"/>
      <c r="L88" s="42">
        <f>D88*F88</f>
        <v>4793.04</v>
      </c>
      <c r="M88" s="32">
        <f t="shared" si="5"/>
        <v>3900.4000000000005</v>
      </c>
    </row>
    <row r="89" spans="1:13" s="32" customFormat="1" ht="18.75">
      <c r="A89" s="43"/>
      <c r="B89" s="51"/>
      <c r="C89" s="36"/>
      <c r="D89" s="55"/>
      <c r="E89" s="37"/>
      <c r="F89" s="37"/>
      <c r="G89" s="38"/>
      <c r="H89" s="30"/>
      <c r="I89" s="40"/>
      <c r="J89" s="41"/>
      <c r="L89" s="42">
        <f aca="true" t="shared" si="6" ref="L89:L94">D89*F89</f>
        <v>0</v>
      </c>
      <c r="M89" s="32">
        <f t="shared" si="5"/>
        <v>0</v>
      </c>
    </row>
    <row r="90" spans="1:13" s="32" customFormat="1" ht="18.75">
      <c r="A90" s="43" t="s">
        <v>133</v>
      </c>
      <c r="B90" s="63" t="s">
        <v>134</v>
      </c>
      <c r="C90" s="36"/>
      <c r="D90" s="55"/>
      <c r="E90" s="37"/>
      <c r="F90" s="37"/>
      <c r="G90" s="38"/>
      <c r="H90" s="30"/>
      <c r="I90" s="40"/>
      <c r="J90" s="41"/>
      <c r="L90" s="42">
        <f t="shared" si="6"/>
        <v>0</v>
      </c>
      <c r="M90" s="32">
        <f t="shared" si="5"/>
        <v>0</v>
      </c>
    </row>
    <row r="91" spans="1:13" s="32" customFormat="1" ht="66.75" customHeight="1">
      <c r="A91" s="43"/>
      <c r="B91" s="44" t="s">
        <v>135</v>
      </c>
      <c r="C91" s="36"/>
      <c r="D91" s="55"/>
      <c r="E91" s="37"/>
      <c r="F91" s="37"/>
      <c r="G91" s="38"/>
      <c r="H91" s="30"/>
      <c r="I91" s="40"/>
      <c r="J91" s="41"/>
      <c r="L91" s="42">
        <f t="shared" si="6"/>
        <v>0</v>
      </c>
      <c r="M91" s="32">
        <f t="shared" si="5"/>
        <v>0</v>
      </c>
    </row>
    <row r="92" spans="1:13" s="32" customFormat="1" ht="18.75">
      <c r="A92" s="43"/>
      <c r="B92" s="44"/>
      <c r="C92" s="36"/>
      <c r="D92" s="55"/>
      <c r="E92" s="37"/>
      <c r="F92" s="37"/>
      <c r="G92" s="38"/>
      <c r="H92" s="30"/>
      <c r="I92" s="40"/>
      <c r="J92" s="41"/>
      <c r="L92" s="42">
        <f t="shared" si="6"/>
        <v>0</v>
      </c>
      <c r="M92" s="32">
        <f t="shared" si="5"/>
        <v>0</v>
      </c>
    </row>
    <row r="93" spans="1:13" s="32" customFormat="1" ht="18.75">
      <c r="A93" s="43"/>
      <c r="B93" s="44"/>
      <c r="C93" s="36"/>
      <c r="D93" s="55"/>
      <c r="E93" s="37"/>
      <c r="F93" s="37"/>
      <c r="G93" s="38"/>
      <c r="H93" s="30"/>
      <c r="I93" s="40"/>
      <c r="J93" s="41"/>
      <c r="L93" s="42">
        <f t="shared" si="6"/>
        <v>0</v>
      </c>
      <c r="M93" s="32">
        <f t="shared" si="5"/>
        <v>0</v>
      </c>
    </row>
    <row r="94" spans="1:13" s="32" customFormat="1" ht="31.5">
      <c r="A94" s="43" t="s">
        <v>136</v>
      </c>
      <c r="B94" s="51" t="s">
        <v>137</v>
      </c>
      <c r="C94" s="36" t="s">
        <v>98</v>
      </c>
      <c r="D94" s="55">
        <v>48</v>
      </c>
      <c r="E94" s="37">
        <v>88.09</v>
      </c>
      <c r="F94" s="37">
        <f>ROUND(E94*1.2288,2)</f>
        <v>108.24</v>
      </c>
      <c r="G94" s="38">
        <f>ROUND(F94*D94,2)</f>
        <v>5195.52</v>
      </c>
      <c r="H94" s="30" t="s">
        <v>138</v>
      </c>
      <c r="I94" s="40" t="s">
        <v>139</v>
      </c>
      <c r="J94" s="41"/>
      <c r="L94" s="42">
        <f t="shared" si="6"/>
        <v>5195.5199999999995</v>
      </c>
      <c r="M94" s="32">
        <f t="shared" si="5"/>
        <v>4228.32</v>
      </c>
    </row>
    <row r="95" spans="1:13" s="72" customFormat="1" ht="18.75">
      <c r="A95" s="43"/>
      <c r="B95" s="44"/>
      <c r="C95" s="36"/>
      <c r="D95" s="55"/>
      <c r="E95" s="37"/>
      <c r="F95" s="37"/>
      <c r="G95" s="38"/>
      <c r="H95" s="30"/>
      <c r="I95" s="40"/>
      <c r="J95" s="41"/>
      <c r="L95" s="42"/>
      <c r="M95" s="32">
        <f t="shared" si="5"/>
        <v>0</v>
      </c>
    </row>
    <row r="96" spans="1:13" s="32" customFormat="1" ht="18" customHeight="1">
      <c r="A96" s="73"/>
      <c r="B96" s="67"/>
      <c r="C96" s="177" t="s">
        <v>35</v>
      </c>
      <c r="D96" s="177"/>
      <c r="E96" s="177"/>
      <c r="F96" s="147"/>
      <c r="G96" s="53">
        <f>SUM(G84:G95)</f>
        <v>9988.560000000001</v>
      </c>
      <c r="H96" s="30"/>
      <c r="I96" s="40"/>
      <c r="J96" s="41"/>
      <c r="L96" s="168">
        <f>SUM(K88:L94)</f>
        <v>9988.56</v>
      </c>
      <c r="M96" s="32">
        <f t="shared" si="5"/>
        <v>0</v>
      </c>
    </row>
    <row r="97" spans="1:13" s="32" customFormat="1" ht="18" customHeight="1">
      <c r="A97" s="24" t="s">
        <v>140</v>
      </c>
      <c r="B97" s="25" t="s">
        <v>141</v>
      </c>
      <c r="C97" s="26"/>
      <c r="D97" s="55"/>
      <c r="E97" s="37"/>
      <c r="F97" s="37"/>
      <c r="G97" s="38"/>
      <c r="H97" s="30"/>
      <c r="I97" s="40"/>
      <c r="J97" s="41"/>
      <c r="L97" s="42"/>
      <c r="M97" s="32">
        <f t="shared" si="5"/>
        <v>0</v>
      </c>
    </row>
    <row r="98" spans="1:13" s="32" customFormat="1" ht="18.75">
      <c r="A98" s="34" t="s">
        <v>142</v>
      </c>
      <c r="B98" s="70" t="s">
        <v>143</v>
      </c>
      <c r="C98" s="64"/>
      <c r="D98" s="55"/>
      <c r="E98" s="37"/>
      <c r="F98" s="37"/>
      <c r="G98" s="38"/>
      <c r="H98" s="30"/>
      <c r="I98" s="40"/>
      <c r="J98" s="41"/>
      <c r="L98" s="42"/>
      <c r="M98" s="32">
        <f t="shared" si="5"/>
        <v>0</v>
      </c>
    </row>
    <row r="99" spans="1:13" s="32" customFormat="1" ht="31.5">
      <c r="A99" s="43" t="s">
        <v>144</v>
      </c>
      <c r="B99" s="51" t="s">
        <v>145</v>
      </c>
      <c r="C99" s="36" t="s">
        <v>21</v>
      </c>
      <c r="D99" s="55">
        <v>1</v>
      </c>
      <c r="E99" s="37">
        <v>35.21</v>
      </c>
      <c r="F99" s="37">
        <f>ROUND(E99*1.2288,2)</f>
        <v>43.27</v>
      </c>
      <c r="G99" s="38">
        <f>ROUND(F99*D99,2)</f>
        <v>43.27</v>
      </c>
      <c r="H99" s="30">
        <v>1</v>
      </c>
      <c r="I99" s="40" t="s">
        <v>52</v>
      </c>
      <c r="J99" s="41"/>
      <c r="L99" s="42">
        <f aca="true" t="shared" si="7" ref="L99:L162">D99*F99</f>
        <v>43.27</v>
      </c>
      <c r="M99" s="32">
        <f t="shared" si="5"/>
        <v>35.21</v>
      </c>
    </row>
    <row r="100" spans="1:13" s="32" customFormat="1" ht="63">
      <c r="A100" s="43"/>
      <c r="B100" s="44" t="s">
        <v>146</v>
      </c>
      <c r="C100" s="36"/>
      <c r="D100" s="55"/>
      <c r="E100" s="37"/>
      <c r="F100" s="37"/>
      <c r="G100" s="38"/>
      <c r="H100" s="30"/>
      <c r="I100" s="40"/>
      <c r="J100" s="41"/>
      <c r="L100" s="42">
        <f t="shared" si="7"/>
        <v>0</v>
      </c>
      <c r="M100" s="32">
        <f t="shared" si="5"/>
        <v>0</v>
      </c>
    </row>
    <row r="101" spans="1:13" s="32" customFormat="1" ht="18.75">
      <c r="A101" s="43"/>
      <c r="B101" s="51"/>
      <c r="C101" s="36"/>
      <c r="D101" s="55"/>
      <c r="E101" s="37"/>
      <c r="F101" s="37"/>
      <c r="G101" s="38"/>
      <c r="H101" s="30"/>
      <c r="I101" s="40"/>
      <c r="J101" s="41"/>
      <c r="L101" s="42">
        <f t="shared" si="7"/>
        <v>0</v>
      </c>
      <c r="M101" s="32">
        <f t="shared" si="5"/>
        <v>0</v>
      </c>
    </row>
    <row r="102" spans="1:13" s="32" customFormat="1" ht="18.75">
      <c r="A102" s="43"/>
      <c r="B102" s="44"/>
      <c r="C102" s="36"/>
      <c r="D102" s="55"/>
      <c r="E102" s="37"/>
      <c r="F102" s="37"/>
      <c r="G102" s="38"/>
      <c r="H102" s="30"/>
      <c r="I102" s="40"/>
      <c r="J102" s="41"/>
      <c r="L102" s="42">
        <f t="shared" si="7"/>
        <v>0</v>
      </c>
      <c r="M102" s="32">
        <f t="shared" si="5"/>
        <v>0</v>
      </c>
    </row>
    <row r="103" spans="1:13" s="32" customFormat="1" ht="18.75">
      <c r="A103" s="43" t="s">
        <v>147</v>
      </c>
      <c r="B103" s="51" t="s">
        <v>148</v>
      </c>
      <c r="C103" s="36" t="s">
        <v>21</v>
      </c>
      <c r="D103" s="55">
        <v>1</v>
      </c>
      <c r="E103" s="37">
        <v>142.49</v>
      </c>
      <c r="F103" s="37">
        <f>ROUND(E103*1.2288,2)</f>
        <v>175.09</v>
      </c>
      <c r="G103" s="38">
        <f>ROUND(F103*D103,2)</f>
        <v>175.09</v>
      </c>
      <c r="H103" s="30">
        <v>1</v>
      </c>
      <c r="I103" s="40" t="s">
        <v>149</v>
      </c>
      <c r="J103" s="41"/>
      <c r="L103" s="42">
        <f t="shared" si="7"/>
        <v>175.09</v>
      </c>
      <c r="M103" s="32">
        <f t="shared" si="5"/>
        <v>142.49</v>
      </c>
    </row>
    <row r="104" spans="1:13" s="32" customFormat="1" ht="47.25">
      <c r="A104" s="43"/>
      <c r="B104" s="44" t="s">
        <v>150</v>
      </c>
      <c r="C104" s="36"/>
      <c r="D104" s="55"/>
      <c r="E104" s="37"/>
      <c r="F104" s="37"/>
      <c r="G104" s="38"/>
      <c r="H104" s="30"/>
      <c r="I104" s="40"/>
      <c r="J104" s="41"/>
      <c r="L104" s="42">
        <f t="shared" si="7"/>
        <v>0</v>
      </c>
      <c r="M104" s="32">
        <f t="shared" si="5"/>
        <v>0</v>
      </c>
    </row>
    <row r="105" spans="1:13" s="32" customFormat="1" ht="18.75">
      <c r="A105" s="43"/>
      <c r="B105" s="44"/>
      <c r="C105" s="36"/>
      <c r="D105" s="55"/>
      <c r="E105" s="37"/>
      <c r="F105" s="37"/>
      <c r="G105" s="38"/>
      <c r="H105" s="30"/>
      <c r="I105" s="40"/>
      <c r="J105" s="41"/>
      <c r="L105" s="42">
        <f t="shared" si="7"/>
        <v>0</v>
      </c>
      <c r="M105" s="32">
        <f t="shared" si="5"/>
        <v>0</v>
      </c>
    </row>
    <row r="106" spans="1:13" s="32" customFormat="1" ht="18.75">
      <c r="A106" s="43"/>
      <c r="B106" s="44"/>
      <c r="C106" s="36"/>
      <c r="D106" s="55"/>
      <c r="E106" s="37"/>
      <c r="F106" s="37"/>
      <c r="G106" s="38"/>
      <c r="H106" s="30"/>
      <c r="I106" s="40"/>
      <c r="J106" s="41"/>
      <c r="L106" s="42">
        <f t="shared" si="7"/>
        <v>0</v>
      </c>
      <c r="M106" s="32">
        <f t="shared" si="5"/>
        <v>0</v>
      </c>
    </row>
    <row r="107" spans="1:13" s="32" customFormat="1" ht="18.75">
      <c r="A107" s="43" t="s">
        <v>151</v>
      </c>
      <c r="B107" s="63" t="s">
        <v>152</v>
      </c>
      <c r="C107" s="36"/>
      <c r="D107" s="55"/>
      <c r="E107" s="37"/>
      <c r="F107" s="37"/>
      <c r="G107" s="38"/>
      <c r="H107" s="30"/>
      <c r="I107" s="40"/>
      <c r="J107" s="41"/>
      <c r="L107" s="42">
        <f t="shared" si="7"/>
        <v>0</v>
      </c>
      <c r="M107" s="32">
        <f t="shared" si="5"/>
        <v>0</v>
      </c>
    </row>
    <row r="108" spans="1:13" s="32" customFormat="1" ht="18.75">
      <c r="A108" s="43" t="s">
        <v>153</v>
      </c>
      <c r="B108" s="51" t="s">
        <v>154</v>
      </c>
      <c r="C108" s="36" t="s">
        <v>21</v>
      </c>
      <c r="D108" s="55">
        <v>2</v>
      </c>
      <c r="E108" s="37">
        <v>198.83</v>
      </c>
      <c r="F108" s="37">
        <f>ROUND(E108*1.2288,2)</f>
        <v>244.32</v>
      </c>
      <c r="G108" s="38">
        <f>ROUND(F108*D108,2)</f>
        <v>488.64</v>
      </c>
      <c r="H108" s="30">
        <v>2</v>
      </c>
      <c r="I108" s="40" t="s">
        <v>155</v>
      </c>
      <c r="J108" s="41"/>
      <c r="L108" s="42">
        <f t="shared" si="7"/>
        <v>488.64</v>
      </c>
      <c r="M108" s="32">
        <f t="shared" si="5"/>
        <v>397.66</v>
      </c>
    </row>
    <row r="109" spans="1:13" s="32" customFormat="1" ht="84.75" customHeight="1">
      <c r="A109" s="43"/>
      <c r="B109" s="44" t="s">
        <v>156</v>
      </c>
      <c r="C109" s="36"/>
      <c r="D109" s="55"/>
      <c r="E109" s="37"/>
      <c r="F109" s="37"/>
      <c r="G109" s="38"/>
      <c r="H109" s="30"/>
      <c r="I109" s="40"/>
      <c r="J109" s="41"/>
      <c r="L109" s="42">
        <f t="shared" si="7"/>
        <v>0</v>
      </c>
      <c r="M109" s="32">
        <f t="shared" si="5"/>
        <v>0</v>
      </c>
    </row>
    <row r="110" spans="1:13" s="32" customFormat="1" ht="18.75">
      <c r="A110" s="43"/>
      <c r="B110" s="44"/>
      <c r="C110" s="36"/>
      <c r="D110" s="55"/>
      <c r="E110" s="37"/>
      <c r="F110" s="37"/>
      <c r="G110" s="38"/>
      <c r="H110" s="30"/>
      <c r="I110" s="40"/>
      <c r="J110" s="41"/>
      <c r="L110" s="42">
        <f t="shared" si="7"/>
        <v>0</v>
      </c>
      <c r="M110" s="32">
        <f t="shared" si="5"/>
        <v>0</v>
      </c>
    </row>
    <row r="111" spans="1:13" s="32" customFormat="1" ht="31.5">
      <c r="A111" s="43" t="s">
        <v>157</v>
      </c>
      <c r="B111" s="51" t="s">
        <v>158</v>
      </c>
      <c r="C111" s="36" t="s">
        <v>21</v>
      </c>
      <c r="D111" s="55">
        <v>2</v>
      </c>
      <c r="E111" s="37">
        <v>367.89</v>
      </c>
      <c r="F111" s="37">
        <f>ROUND(E111*1.2288,2)</f>
        <v>452.06</v>
      </c>
      <c r="G111" s="38">
        <f>ROUND(F111*D111,2)</f>
        <v>904.12</v>
      </c>
      <c r="H111" s="30">
        <v>2</v>
      </c>
      <c r="I111" s="40" t="s">
        <v>159</v>
      </c>
      <c r="J111" s="41"/>
      <c r="L111" s="42">
        <f t="shared" si="7"/>
        <v>904.12</v>
      </c>
      <c r="M111" s="32">
        <f t="shared" si="5"/>
        <v>735.78</v>
      </c>
    </row>
    <row r="112" spans="1:13" s="32" customFormat="1" ht="94.5">
      <c r="A112" s="43"/>
      <c r="B112" s="44" t="s">
        <v>160</v>
      </c>
      <c r="C112" s="36"/>
      <c r="D112" s="55"/>
      <c r="E112" s="37"/>
      <c r="F112" s="37"/>
      <c r="G112" s="38"/>
      <c r="H112" s="30"/>
      <c r="I112" s="40"/>
      <c r="J112" s="41"/>
      <c r="L112" s="42">
        <f t="shared" si="7"/>
        <v>0</v>
      </c>
      <c r="M112" s="32">
        <f t="shared" si="5"/>
        <v>0</v>
      </c>
    </row>
    <row r="113" spans="1:13" s="32" customFormat="1" ht="18.75">
      <c r="A113" s="43"/>
      <c r="B113" s="44"/>
      <c r="C113" s="36"/>
      <c r="D113" s="55"/>
      <c r="E113" s="37"/>
      <c r="F113" s="37"/>
      <c r="G113" s="38"/>
      <c r="H113" s="30"/>
      <c r="I113" s="40"/>
      <c r="J113" s="41"/>
      <c r="L113" s="42">
        <f t="shared" si="7"/>
        <v>0</v>
      </c>
      <c r="M113" s="32">
        <f t="shared" si="5"/>
        <v>0</v>
      </c>
    </row>
    <row r="114" spans="1:13" s="32" customFormat="1" ht="18.75">
      <c r="A114" s="43"/>
      <c r="B114" s="44"/>
      <c r="C114" s="36"/>
      <c r="D114" s="55"/>
      <c r="E114" s="37"/>
      <c r="F114" s="37"/>
      <c r="G114" s="38"/>
      <c r="H114" s="30"/>
      <c r="I114" s="40"/>
      <c r="J114" s="41"/>
      <c r="L114" s="42">
        <f t="shared" si="7"/>
        <v>0</v>
      </c>
      <c r="M114" s="32">
        <f t="shared" si="5"/>
        <v>0</v>
      </c>
    </row>
    <row r="115" spans="1:13" s="32" customFormat="1" ht="18.75">
      <c r="A115" s="43"/>
      <c r="B115" s="44"/>
      <c r="C115" s="36"/>
      <c r="D115" s="55"/>
      <c r="E115" s="37"/>
      <c r="F115" s="37"/>
      <c r="G115" s="38"/>
      <c r="H115" s="30"/>
      <c r="I115" s="40"/>
      <c r="J115" s="41"/>
      <c r="L115" s="42">
        <f t="shared" si="7"/>
        <v>0</v>
      </c>
      <c r="M115" s="32">
        <f t="shared" si="5"/>
        <v>0</v>
      </c>
    </row>
    <row r="116" spans="1:13" s="32" customFormat="1" ht="18.75">
      <c r="A116" s="43" t="s">
        <v>161</v>
      </c>
      <c r="B116" s="51" t="s">
        <v>162</v>
      </c>
      <c r="C116" s="36" t="s">
        <v>21</v>
      </c>
      <c r="D116" s="55">
        <v>2</v>
      </c>
      <c r="E116" s="37">
        <v>246.27</v>
      </c>
      <c r="F116" s="37">
        <f>ROUND(E116*1.2288,2)</f>
        <v>302.62</v>
      </c>
      <c r="G116" s="38">
        <f>ROUND(F116*D116,2)</f>
        <v>605.24</v>
      </c>
      <c r="H116" s="30">
        <v>2</v>
      </c>
      <c r="I116" s="40" t="s">
        <v>155</v>
      </c>
      <c r="J116" s="41"/>
      <c r="L116" s="42">
        <f t="shared" si="7"/>
        <v>605.24</v>
      </c>
      <c r="M116" s="32">
        <f t="shared" si="5"/>
        <v>492.54</v>
      </c>
    </row>
    <row r="117" spans="1:13" s="32" customFormat="1" ht="94.5">
      <c r="A117" s="43"/>
      <c r="B117" s="44" t="s">
        <v>163</v>
      </c>
      <c r="C117" s="36"/>
      <c r="D117" s="55"/>
      <c r="E117" s="37"/>
      <c r="F117" s="37"/>
      <c r="G117" s="38"/>
      <c r="H117" s="30"/>
      <c r="I117" s="40"/>
      <c r="J117" s="41"/>
      <c r="L117" s="42">
        <f t="shared" si="7"/>
        <v>0</v>
      </c>
      <c r="M117" s="32">
        <f t="shared" si="5"/>
        <v>0</v>
      </c>
    </row>
    <row r="118" spans="1:13" s="32" customFormat="1" ht="18.75">
      <c r="A118" s="43"/>
      <c r="B118" s="44"/>
      <c r="C118" s="36"/>
      <c r="D118" s="55"/>
      <c r="E118" s="37"/>
      <c r="F118" s="37"/>
      <c r="G118" s="38"/>
      <c r="H118" s="30"/>
      <c r="I118" s="40"/>
      <c r="J118" s="41"/>
      <c r="L118" s="42">
        <f t="shared" si="7"/>
        <v>0</v>
      </c>
      <c r="M118" s="32">
        <f t="shared" si="5"/>
        <v>0</v>
      </c>
    </row>
    <row r="119" spans="1:13" s="32" customFormat="1" ht="18.75">
      <c r="A119" s="43"/>
      <c r="B119" s="44"/>
      <c r="C119" s="36"/>
      <c r="D119" s="55"/>
      <c r="E119" s="37"/>
      <c r="F119" s="37"/>
      <c r="G119" s="38"/>
      <c r="H119" s="30"/>
      <c r="I119" s="40"/>
      <c r="J119" s="41"/>
      <c r="L119" s="42">
        <f t="shared" si="7"/>
        <v>0</v>
      </c>
      <c r="M119" s="32">
        <f t="shared" si="5"/>
        <v>0</v>
      </c>
    </row>
    <row r="120" spans="1:13" s="32" customFormat="1" ht="18.75">
      <c r="A120" s="43" t="s">
        <v>164</v>
      </c>
      <c r="B120" s="63" t="s">
        <v>165</v>
      </c>
      <c r="C120" s="36"/>
      <c r="D120" s="55"/>
      <c r="E120" s="37"/>
      <c r="F120" s="37"/>
      <c r="G120" s="38"/>
      <c r="H120" s="30"/>
      <c r="I120" s="40"/>
      <c r="J120" s="41"/>
      <c r="L120" s="42">
        <f t="shared" si="7"/>
        <v>0</v>
      </c>
      <c r="M120" s="32">
        <f t="shared" si="5"/>
        <v>0</v>
      </c>
    </row>
    <row r="121" spans="1:13" s="32" customFormat="1" ht="47.25">
      <c r="A121" s="43"/>
      <c r="B121" s="44" t="s">
        <v>166</v>
      </c>
      <c r="C121" s="36"/>
      <c r="D121" s="55"/>
      <c r="E121" s="37"/>
      <c r="F121" s="37"/>
      <c r="G121" s="38"/>
      <c r="H121" s="30"/>
      <c r="I121" s="40"/>
      <c r="J121" s="41"/>
      <c r="L121" s="42">
        <f t="shared" si="7"/>
        <v>0</v>
      </c>
      <c r="M121" s="32">
        <f t="shared" si="5"/>
        <v>0</v>
      </c>
    </row>
    <row r="122" spans="1:13" s="32" customFormat="1" ht="18.75">
      <c r="A122" s="43"/>
      <c r="B122" s="63"/>
      <c r="C122" s="36"/>
      <c r="D122" s="55"/>
      <c r="E122" s="37"/>
      <c r="F122" s="37"/>
      <c r="G122" s="38"/>
      <c r="H122" s="30"/>
      <c r="I122" s="40"/>
      <c r="J122" s="41"/>
      <c r="L122" s="42">
        <f t="shared" si="7"/>
        <v>0</v>
      </c>
      <c r="M122" s="32">
        <f t="shared" si="5"/>
        <v>0</v>
      </c>
    </row>
    <row r="123" spans="1:13" s="32" customFormat="1" ht="18.75">
      <c r="A123" s="43"/>
      <c r="B123" s="44"/>
      <c r="C123" s="36"/>
      <c r="D123" s="55"/>
      <c r="E123" s="37"/>
      <c r="F123" s="37"/>
      <c r="G123" s="38"/>
      <c r="H123" s="30"/>
      <c r="I123" s="40"/>
      <c r="J123" s="41"/>
      <c r="L123" s="42">
        <f t="shared" si="7"/>
        <v>0</v>
      </c>
      <c r="M123" s="32">
        <f t="shared" si="5"/>
        <v>0</v>
      </c>
    </row>
    <row r="124" spans="1:13" s="32" customFormat="1" ht="18.75">
      <c r="A124" s="43"/>
      <c r="B124" s="44"/>
      <c r="C124" s="36"/>
      <c r="D124" s="55"/>
      <c r="E124" s="37"/>
      <c r="F124" s="37"/>
      <c r="G124" s="38"/>
      <c r="H124" s="30"/>
      <c r="I124" s="40"/>
      <c r="J124" s="41"/>
      <c r="L124" s="42">
        <f t="shared" si="7"/>
        <v>0</v>
      </c>
      <c r="M124" s="32">
        <f t="shared" si="5"/>
        <v>0</v>
      </c>
    </row>
    <row r="125" spans="1:13" s="32" customFormat="1" ht="18.75">
      <c r="A125" s="43"/>
      <c r="B125" s="44"/>
      <c r="C125" s="36"/>
      <c r="D125" s="55"/>
      <c r="E125" s="37"/>
      <c r="F125" s="37"/>
      <c r="G125" s="38"/>
      <c r="H125" s="30"/>
      <c r="I125" s="40"/>
      <c r="J125" s="41"/>
      <c r="L125" s="42">
        <f t="shared" si="7"/>
        <v>0</v>
      </c>
      <c r="M125" s="32">
        <f t="shared" si="5"/>
        <v>0</v>
      </c>
    </row>
    <row r="126" spans="1:13" s="32" customFormat="1" ht="18.75">
      <c r="A126" s="43" t="s">
        <v>167</v>
      </c>
      <c r="B126" s="51" t="s">
        <v>168</v>
      </c>
      <c r="C126" s="36" t="s">
        <v>21</v>
      </c>
      <c r="D126" s="55">
        <v>1</v>
      </c>
      <c r="E126" s="37">
        <v>56.76</v>
      </c>
      <c r="F126" s="37">
        <f>ROUND(E126*1.2288,2)</f>
        <v>69.75</v>
      </c>
      <c r="G126" s="38">
        <f>ROUND(F126*D126,2)</f>
        <v>69.75</v>
      </c>
      <c r="H126" s="30">
        <v>1</v>
      </c>
      <c r="I126" s="40" t="s">
        <v>169</v>
      </c>
      <c r="J126" s="41"/>
      <c r="L126" s="42">
        <f t="shared" si="7"/>
        <v>69.75</v>
      </c>
      <c r="M126" s="32">
        <f t="shared" si="5"/>
        <v>56.76</v>
      </c>
    </row>
    <row r="127" spans="1:13" s="32" customFormat="1" ht="18.75">
      <c r="A127" s="43"/>
      <c r="B127" s="44"/>
      <c r="C127" s="36"/>
      <c r="D127" s="55"/>
      <c r="E127" s="37"/>
      <c r="F127" s="37"/>
      <c r="G127" s="38"/>
      <c r="H127" s="30"/>
      <c r="I127" s="40"/>
      <c r="J127" s="41"/>
      <c r="L127" s="42">
        <f t="shared" si="7"/>
        <v>0</v>
      </c>
      <c r="M127" s="32">
        <f t="shared" si="5"/>
        <v>0</v>
      </c>
    </row>
    <row r="128" spans="1:13" s="32" customFormat="1" ht="18.75">
      <c r="A128" s="43"/>
      <c r="B128" s="44"/>
      <c r="C128" s="36"/>
      <c r="D128" s="55"/>
      <c r="E128" s="37"/>
      <c r="F128" s="37"/>
      <c r="G128" s="38"/>
      <c r="H128" s="30"/>
      <c r="I128" s="40"/>
      <c r="J128" s="41"/>
      <c r="L128" s="42">
        <f t="shared" si="7"/>
        <v>0</v>
      </c>
      <c r="M128" s="32">
        <f t="shared" si="5"/>
        <v>0</v>
      </c>
    </row>
    <row r="129" spans="1:13" s="32" customFormat="1" ht="18.75">
      <c r="A129" s="43" t="s">
        <v>170</v>
      </c>
      <c r="B129" s="51" t="s">
        <v>171</v>
      </c>
      <c r="C129" s="36" t="s">
        <v>21</v>
      </c>
      <c r="D129" s="55">
        <v>2</v>
      </c>
      <c r="E129" s="37">
        <v>116.16</v>
      </c>
      <c r="F129" s="37">
        <f>ROUND(E129*1.2288,2)</f>
        <v>142.74</v>
      </c>
      <c r="G129" s="38">
        <f>ROUND(F129*D129,2)</f>
        <v>285.48</v>
      </c>
      <c r="H129" s="30">
        <v>2</v>
      </c>
      <c r="I129" s="40" t="s">
        <v>172</v>
      </c>
      <c r="J129" s="41"/>
      <c r="L129" s="42">
        <f t="shared" si="7"/>
        <v>285.48</v>
      </c>
      <c r="M129" s="32">
        <f t="shared" si="5"/>
        <v>232.32</v>
      </c>
    </row>
    <row r="130" spans="1:13" s="32" customFormat="1" ht="18.75">
      <c r="A130" s="43"/>
      <c r="B130" s="44"/>
      <c r="C130" s="36"/>
      <c r="D130" s="55"/>
      <c r="E130" s="37"/>
      <c r="F130" s="37"/>
      <c r="G130" s="38"/>
      <c r="H130" s="30"/>
      <c r="I130" s="40"/>
      <c r="J130" s="41"/>
      <c r="L130" s="42">
        <f t="shared" si="7"/>
        <v>0</v>
      </c>
      <c r="M130" s="32">
        <f t="shared" si="5"/>
        <v>0</v>
      </c>
    </row>
    <row r="131" spans="1:13" s="32" customFormat="1" ht="18.75">
      <c r="A131" s="43" t="s">
        <v>173</v>
      </c>
      <c r="B131" s="63" t="s">
        <v>174</v>
      </c>
      <c r="C131" s="36"/>
      <c r="D131" s="55"/>
      <c r="E131" s="37"/>
      <c r="F131" s="37"/>
      <c r="G131" s="38"/>
      <c r="H131" s="30"/>
      <c r="I131" s="40"/>
      <c r="J131" s="41"/>
      <c r="L131" s="42">
        <f t="shared" si="7"/>
        <v>0</v>
      </c>
      <c r="M131" s="32">
        <f t="shared" si="5"/>
        <v>0</v>
      </c>
    </row>
    <row r="132" spans="1:13" s="32" customFormat="1" ht="18.75">
      <c r="A132" s="43"/>
      <c r="B132" s="51"/>
      <c r="C132" s="36"/>
      <c r="D132" s="55"/>
      <c r="E132" s="37"/>
      <c r="F132" s="37"/>
      <c r="G132" s="38"/>
      <c r="H132" s="30"/>
      <c r="I132" s="40"/>
      <c r="J132" s="41"/>
      <c r="L132" s="42">
        <f t="shared" si="7"/>
        <v>0</v>
      </c>
      <c r="M132" s="32">
        <f t="shared" si="5"/>
        <v>0</v>
      </c>
    </row>
    <row r="133" spans="1:13" s="32" customFormat="1" ht="18.75">
      <c r="A133" s="43" t="s">
        <v>175</v>
      </c>
      <c r="B133" s="63" t="s">
        <v>176</v>
      </c>
      <c r="C133" s="36"/>
      <c r="D133" s="55"/>
      <c r="E133" s="37"/>
      <c r="F133" s="37"/>
      <c r="G133" s="38"/>
      <c r="H133" s="30"/>
      <c r="I133" s="40"/>
      <c r="J133" s="41"/>
      <c r="L133" s="42">
        <f t="shared" si="7"/>
        <v>0</v>
      </c>
      <c r="M133" s="32">
        <f t="shared" si="5"/>
        <v>0</v>
      </c>
    </row>
    <row r="134" spans="1:13" s="32" customFormat="1" ht="47.25">
      <c r="A134" s="43" t="s">
        <v>177</v>
      </c>
      <c r="B134" s="51" t="s">
        <v>178</v>
      </c>
      <c r="C134" s="36" t="s">
        <v>21</v>
      </c>
      <c r="D134" s="55">
        <v>1</v>
      </c>
      <c r="E134" s="37">
        <v>1264.07</v>
      </c>
      <c r="F134" s="37">
        <f>ROUND(E134*1.2288,2)</f>
        <v>1553.29</v>
      </c>
      <c r="G134" s="38">
        <f>ROUND(F134*D134,2)</f>
        <v>1553.29</v>
      </c>
      <c r="H134" s="30">
        <v>1</v>
      </c>
      <c r="I134" s="40" t="s">
        <v>179</v>
      </c>
      <c r="J134" s="41"/>
      <c r="L134" s="42">
        <f t="shared" si="7"/>
        <v>1553.29</v>
      </c>
      <c r="M134" s="32">
        <f t="shared" si="5"/>
        <v>1264.07</v>
      </c>
    </row>
    <row r="135" spans="1:13" s="32" customFormat="1" ht="113.25" customHeight="1">
      <c r="A135" s="43"/>
      <c r="B135" s="44" t="s">
        <v>180</v>
      </c>
      <c r="C135" s="36"/>
      <c r="D135" s="55"/>
      <c r="E135" s="37"/>
      <c r="F135" s="37"/>
      <c r="G135" s="38"/>
      <c r="H135" s="30"/>
      <c r="I135" s="40"/>
      <c r="J135" s="41"/>
      <c r="L135" s="42">
        <f t="shared" si="7"/>
        <v>0</v>
      </c>
      <c r="M135" s="32">
        <f t="shared" si="5"/>
        <v>0</v>
      </c>
    </row>
    <row r="136" spans="1:13" s="32" customFormat="1" ht="18.75">
      <c r="A136" s="43"/>
      <c r="B136" s="44"/>
      <c r="C136" s="36"/>
      <c r="D136" s="55"/>
      <c r="E136" s="37"/>
      <c r="F136" s="37"/>
      <c r="G136" s="38"/>
      <c r="H136" s="30"/>
      <c r="I136" s="40"/>
      <c r="J136" s="41"/>
      <c r="L136" s="42">
        <f t="shared" si="7"/>
        <v>0</v>
      </c>
      <c r="M136" s="32">
        <f aca="true" t="shared" si="8" ref="M136:M199">D136*E136</f>
        <v>0</v>
      </c>
    </row>
    <row r="137" spans="1:13" s="32" customFormat="1" ht="18.75">
      <c r="A137" s="43" t="s">
        <v>181</v>
      </c>
      <c r="B137" s="63" t="s">
        <v>182</v>
      </c>
      <c r="C137" s="36"/>
      <c r="D137" s="55"/>
      <c r="E137" s="37"/>
      <c r="F137" s="37"/>
      <c r="G137" s="38"/>
      <c r="H137" s="30"/>
      <c r="I137" s="40"/>
      <c r="J137" s="41"/>
      <c r="L137" s="42">
        <f t="shared" si="7"/>
        <v>0</v>
      </c>
      <c r="M137" s="32">
        <f t="shared" si="8"/>
        <v>0</v>
      </c>
    </row>
    <row r="138" spans="1:13" s="32" customFormat="1" ht="94.5">
      <c r="A138" s="43"/>
      <c r="B138" s="44" t="s">
        <v>183</v>
      </c>
      <c r="C138" s="36"/>
      <c r="D138" s="55"/>
      <c r="E138" s="37"/>
      <c r="F138" s="37"/>
      <c r="G138" s="38"/>
      <c r="H138" s="30"/>
      <c r="I138" s="40"/>
      <c r="J138" s="41"/>
      <c r="L138" s="42">
        <f t="shared" si="7"/>
        <v>0</v>
      </c>
      <c r="M138" s="32">
        <f t="shared" si="8"/>
        <v>0</v>
      </c>
    </row>
    <row r="139" spans="1:13" s="32" customFormat="1" ht="18.75">
      <c r="A139" s="43"/>
      <c r="B139" s="63"/>
      <c r="C139" s="36"/>
      <c r="D139" s="55"/>
      <c r="E139" s="37"/>
      <c r="F139" s="37"/>
      <c r="G139" s="38"/>
      <c r="H139" s="30"/>
      <c r="I139" s="40"/>
      <c r="J139" s="41"/>
      <c r="L139" s="42">
        <f t="shared" si="7"/>
        <v>0</v>
      </c>
      <c r="M139" s="32">
        <f t="shared" si="8"/>
        <v>0</v>
      </c>
    </row>
    <row r="140" spans="1:13" s="32" customFormat="1" ht="18.75">
      <c r="A140" s="43"/>
      <c r="B140" s="44"/>
      <c r="C140" s="36"/>
      <c r="D140" s="55"/>
      <c r="E140" s="37"/>
      <c r="F140" s="37"/>
      <c r="G140" s="38"/>
      <c r="H140" s="40"/>
      <c r="I140" s="40"/>
      <c r="J140" s="41"/>
      <c r="L140" s="42">
        <f t="shared" si="7"/>
        <v>0</v>
      </c>
      <c r="M140" s="32">
        <f t="shared" si="8"/>
        <v>0</v>
      </c>
    </row>
    <row r="141" spans="1:13" s="32" customFormat="1" ht="18.75">
      <c r="A141" s="43"/>
      <c r="B141" s="44"/>
      <c r="C141" s="36"/>
      <c r="D141" s="55"/>
      <c r="E141" s="37"/>
      <c r="F141" s="37"/>
      <c r="G141" s="38"/>
      <c r="H141" s="40"/>
      <c r="I141" s="40"/>
      <c r="J141" s="41"/>
      <c r="L141" s="42">
        <f t="shared" si="7"/>
        <v>0</v>
      </c>
      <c r="M141" s="32">
        <f t="shared" si="8"/>
        <v>0</v>
      </c>
    </row>
    <row r="142" spans="1:13" s="32" customFormat="1" ht="47.25">
      <c r="A142" s="43" t="s">
        <v>184</v>
      </c>
      <c r="B142" s="51" t="s">
        <v>185</v>
      </c>
      <c r="C142" s="36" t="s">
        <v>98</v>
      </c>
      <c r="D142" s="55">
        <v>65</v>
      </c>
      <c r="E142" s="37">
        <v>24.71</v>
      </c>
      <c r="F142" s="37">
        <f>ROUND(E142*1.2288,2)</f>
        <v>30.36</v>
      </c>
      <c r="G142" s="38">
        <f>ROUND(F142*D142,2)</f>
        <v>1973.4</v>
      </c>
      <c r="H142" s="55">
        <v>65</v>
      </c>
      <c r="I142" s="40" t="s">
        <v>186</v>
      </c>
      <c r="J142" s="41"/>
      <c r="L142" s="42">
        <f t="shared" si="7"/>
        <v>1973.3999999999999</v>
      </c>
      <c r="M142" s="32">
        <f t="shared" si="8"/>
        <v>1606.15</v>
      </c>
    </row>
    <row r="143" spans="1:13" s="32" customFormat="1" ht="18.75">
      <c r="A143" s="43"/>
      <c r="B143" s="44"/>
      <c r="C143" s="36"/>
      <c r="D143" s="55"/>
      <c r="E143" s="37"/>
      <c r="F143" s="37"/>
      <c r="G143" s="38"/>
      <c r="H143" s="40"/>
      <c r="I143" s="40"/>
      <c r="J143" s="41"/>
      <c r="L143" s="42">
        <f t="shared" si="7"/>
        <v>0</v>
      </c>
      <c r="M143" s="32">
        <f t="shared" si="8"/>
        <v>0</v>
      </c>
    </row>
    <row r="144" spans="1:13" s="32" customFormat="1" ht="18.75">
      <c r="A144" s="43"/>
      <c r="B144" s="44"/>
      <c r="C144" s="36"/>
      <c r="D144" s="55"/>
      <c r="E144" s="37"/>
      <c r="F144" s="37"/>
      <c r="G144" s="38"/>
      <c r="H144" s="40"/>
      <c r="I144" s="40"/>
      <c r="J144" s="41"/>
      <c r="L144" s="42">
        <f t="shared" si="7"/>
        <v>0</v>
      </c>
      <c r="M144" s="32">
        <f t="shared" si="8"/>
        <v>0</v>
      </c>
    </row>
    <row r="145" spans="1:13" s="32" customFormat="1" ht="31.5">
      <c r="A145" s="43" t="s">
        <v>187</v>
      </c>
      <c r="B145" s="51" t="s">
        <v>188</v>
      </c>
      <c r="C145" s="36" t="s">
        <v>98</v>
      </c>
      <c r="D145" s="55">
        <v>8</v>
      </c>
      <c r="E145" s="37">
        <v>41.77</v>
      </c>
      <c r="F145" s="37">
        <f>ROUND(E145*1.2288,2)</f>
        <v>51.33</v>
      </c>
      <c r="G145" s="38">
        <f>ROUND(F145*D145,2)</f>
        <v>410.64</v>
      </c>
      <c r="H145" s="55">
        <v>8</v>
      </c>
      <c r="I145" s="40" t="s">
        <v>189</v>
      </c>
      <c r="J145" s="41"/>
      <c r="L145" s="42">
        <f t="shared" si="7"/>
        <v>410.64</v>
      </c>
      <c r="M145" s="32">
        <f t="shared" si="8"/>
        <v>334.16</v>
      </c>
    </row>
    <row r="146" spans="1:13" s="32" customFormat="1" ht="18.75">
      <c r="A146" s="43"/>
      <c r="B146" s="44"/>
      <c r="C146" s="36"/>
      <c r="D146" s="55"/>
      <c r="E146" s="37"/>
      <c r="F146" s="37"/>
      <c r="G146" s="38"/>
      <c r="H146" s="40"/>
      <c r="I146" s="40"/>
      <c r="J146" s="41"/>
      <c r="L146" s="42">
        <f t="shared" si="7"/>
        <v>0</v>
      </c>
      <c r="M146" s="32">
        <f t="shared" si="8"/>
        <v>0</v>
      </c>
    </row>
    <row r="147" spans="1:13" s="32" customFormat="1" ht="18.75">
      <c r="A147" s="43"/>
      <c r="B147" s="44"/>
      <c r="C147" s="36"/>
      <c r="D147" s="55"/>
      <c r="E147" s="37"/>
      <c r="F147" s="37"/>
      <c r="G147" s="38"/>
      <c r="H147" s="40"/>
      <c r="I147" s="40"/>
      <c r="J147" s="41"/>
      <c r="L147" s="42">
        <f t="shared" si="7"/>
        <v>0</v>
      </c>
      <c r="M147" s="32">
        <f t="shared" si="8"/>
        <v>0</v>
      </c>
    </row>
    <row r="148" spans="1:13" s="32" customFormat="1" ht="18.75">
      <c r="A148" s="43" t="s">
        <v>190</v>
      </c>
      <c r="B148" s="63" t="s">
        <v>191</v>
      </c>
      <c r="C148" s="36"/>
      <c r="D148" s="55"/>
      <c r="E148" s="37"/>
      <c r="F148" s="37"/>
      <c r="G148" s="38"/>
      <c r="H148" s="30"/>
      <c r="I148" s="40"/>
      <c r="J148" s="41"/>
      <c r="L148" s="42">
        <f t="shared" si="7"/>
        <v>0</v>
      </c>
      <c r="M148" s="32">
        <f t="shared" si="8"/>
        <v>0</v>
      </c>
    </row>
    <row r="149" spans="1:13" s="32" customFormat="1" ht="94.5">
      <c r="A149" s="43"/>
      <c r="B149" s="44" t="s">
        <v>192</v>
      </c>
      <c r="C149" s="36"/>
      <c r="D149" s="55"/>
      <c r="E149" s="37"/>
      <c r="F149" s="37"/>
      <c r="G149" s="38"/>
      <c r="H149" s="30"/>
      <c r="I149" s="40"/>
      <c r="J149" s="41"/>
      <c r="L149" s="42">
        <f t="shared" si="7"/>
        <v>0</v>
      </c>
      <c r="M149" s="32">
        <f t="shared" si="8"/>
        <v>0</v>
      </c>
    </row>
    <row r="150" spans="1:13" s="32" customFormat="1" ht="18.75">
      <c r="A150" s="43"/>
      <c r="B150" s="63"/>
      <c r="C150" s="36"/>
      <c r="D150" s="55"/>
      <c r="E150" s="37"/>
      <c r="F150" s="37"/>
      <c r="G150" s="38"/>
      <c r="H150" s="30"/>
      <c r="I150" s="40"/>
      <c r="J150" s="41"/>
      <c r="L150" s="42">
        <f t="shared" si="7"/>
        <v>0</v>
      </c>
      <c r="M150" s="32">
        <f t="shared" si="8"/>
        <v>0</v>
      </c>
    </row>
    <row r="151" spans="1:13" s="32" customFormat="1" ht="18.75">
      <c r="A151" s="43" t="s">
        <v>193</v>
      </c>
      <c r="B151" s="51" t="s">
        <v>194</v>
      </c>
      <c r="C151" s="36" t="s">
        <v>21</v>
      </c>
      <c r="D151" s="55">
        <v>1</v>
      </c>
      <c r="E151" s="37">
        <v>615.99</v>
      </c>
      <c r="F151" s="37">
        <f>ROUND(E151*1.2288,2)</f>
        <v>756.93</v>
      </c>
      <c r="G151" s="38">
        <f>ROUND(F151*D151,2)</f>
        <v>756.93</v>
      </c>
      <c r="H151" s="30">
        <v>1</v>
      </c>
      <c r="I151" s="40" t="s">
        <v>195</v>
      </c>
      <c r="J151" s="41"/>
      <c r="L151" s="42">
        <f t="shared" si="7"/>
        <v>756.93</v>
      </c>
      <c r="M151" s="32">
        <f t="shared" si="8"/>
        <v>615.99</v>
      </c>
    </row>
    <row r="152" spans="1:13" s="32" customFormat="1" ht="18.75">
      <c r="A152" s="43"/>
      <c r="B152" s="44"/>
      <c r="C152" s="36"/>
      <c r="D152" s="55"/>
      <c r="E152" s="37"/>
      <c r="F152" s="37"/>
      <c r="G152" s="38"/>
      <c r="H152" s="30"/>
      <c r="I152" s="40"/>
      <c r="J152" s="41"/>
      <c r="L152" s="42">
        <f t="shared" si="7"/>
        <v>0</v>
      </c>
      <c r="M152" s="32">
        <f t="shared" si="8"/>
        <v>0</v>
      </c>
    </row>
    <row r="153" spans="1:13" s="32" customFormat="1" ht="18.75">
      <c r="A153" s="43"/>
      <c r="B153" s="47"/>
      <c r="C153" s="36"/>
      <c r="D153" s="55"/>
      <c r="E153" s="37"/>
      <c r="F153" s="37"/>
      <c r="G153" s="38"/>
      <c r="H153" s="30"/>
      <c r="I153" s="40"/>
      <c r="J153" s="41"/>
      <c r="L153" s="42">
        <f t="shared" si="7"/>
        <v>0</v>
      </c>
      <c r="M153" s="32">
        <f t="shared" si="8"/>
        <v>0</v>
      </c>
    </row>
    <row r="154" spans="1:13" s="32" customFormat="1" ht="47.25">
      <c r="A154" s="43" t="s">
        <v>196</v>
      </c>
      <c r="B154" s="47" t="s">
        <v>197</v>
      </c>
      <c r="C154" s="36" t="s">
        <v>21</v>
      </c>
      <c r="D154" s="55">
        <v>1</v>
      </c>
      <c r="E154" s="37">
        <v>2917.73</v>
      </c>
      <c r="F154" s="37">
        <f>ROUND(E154*1.2288,2)</f>
        <v>3585.31</v>
      </c>
      <c r="G154" s="38">
        <f>ROUND(F154*D154,2)</f>
        <v>3585.31</v>
      </c>
      <c r="H154" s="30">
        <v>1</v>
      </c>
      <c r="I154" s="40" t="s">
        <v>198</v>
      </c>
      <c r="J154" s="41"/>
      <c r="L154" s="42">
        <f t="shared" si="7"/>
        <v>3585.31</v>
      </c>
      <c r="M154" s="32">
        <f t="shared" si="8"/>
        <v>2917.73</v>
      </c>
    </row>
    <row r="155" spans="1:13" s="32" customFormat="1" ht="18.75">
      <c r="A155" s="43"/>
      <c r="B155" s="51"/>
      <c r="C155" s="36"/>
      <c r="D155" s="55"/>
      <c r="E155" s="37"/>
      <c r="F155" s="37"/>
      <c r="G155" s="38"/>
      <c r="H155" s="30"/>
      <c r="I155" s="40"/>
      <c r="J155" s="41"/>
      <c r="L155" s="42">
        <f t="shared" si="7"/>
        <v>0</v>
      </c>
      <c r="M155" s="32">
        <f t="shared" si="8"/>
        <v>0</v>
      </c>
    </row>
    <row r="156" spans="1:13" s="32" customFormat="1" ht="18.75">
      <c r="A156" s="43" t="s">
        <v>199</v>
      </c>
      <c r="B156" s="51" t="s">
        <v>200</v>
      </c>
      <c r="C156" s="36" t="s">
        <v>21</v>
      </c>
      <c r="D156" s="55">
        <v>2</v>
      </c>
      <c r="E156" s="37">
        <v>39.68</v>
      </c>
      <c r="F156" s="37">
        <f>ROUND(E156*1.2288,2)</f>
        <v>48.76</v>
      </c>
      <c r="G156" s="38">
        <f>ROUND(F156*D156,2)</f>
        <v>97.52</v>
      </c>
      <c r="H156" s="30">
        <v>2</v>
      </c>
      <c r="I156" s="40" t="s">
        <v>195</v>
      </c>
      <c r="J156" s="41"/>
      <c r="L156" s="42">
        <f t="shared" si="7"/>
        <v>97.52</v>
      </c>
      <c r="M156" s="32">
        <f t="shared" si="8"/>
        <v>79.36</v>
      </c>
    </row>
    <row r="157" spans="1:13" s="32" customFormat="1" ht="63">
      <c r="A157" s="43"/>
      <c r="B157" s="44" t="s">
        <v>201</v>
      </c>
      <c r="C157" s="36"/>
      <c r="D157" s="55"/>
      <c r="E157" s="37"/>
      <c r="F157" s="37"/>
      <c r="G157" s="38"/>
      <c r="H157" s="30"/>
      <c r="I157" s="40"/>
      <c r="J157" s="41"/>
      <c r="L157" s="42">
        <f t="shared" si="7"/>
        <v>0</v>
      </c>
      <c r="M157" s="32">
        <f t="shared" si="8"/>
        <v>0</v>
      </c>
    </row>
    <row r="158" spans="1:13" s="32" customFormat="1" ht="18.75">
      <c r="A158" s="43"/>
      <c r="B158" s="44"/>
      <c r="C158" s="36"/>
      <c r="D158" s="55"/>
      <c r="E158" s="37"/>
      <c r="F158" s="37"/>
      <c r="G158" s="38"/>
      <c r="H158" s="30"/>
      <c r="I158" s="40"/>
      <c r="J158" s="41"/>
      <c r="L158" s="42">
        <f t="shared" si="7"/>
        <v>0</v>
      </c>
      <c r="M158" s="32">
        <f t="shared" si="8"/>
        <v>0</v>
      </c>
    </row>
    <row r="159" spans="1:13" s="32" customFormat="1" ht="18.75">
      <c r="A159" s="43" t="s">
        <v>202</v>
      </c>
      <c r="B159" s="51" t="s">
        <v>203</v>
      </c>
      <c r="C159" s="36" t="s">
        <v>21</v>
      </c>
      <c r="D159" s="55">
        <v>2</v>
      </c>
      <c r="E159" s="37">
        <v>53.87</v>
      </c>
      <c r="F159" s="37">
        <f>ROUND(E159*1.2288,2)</f>
        <v>66.2</v>
      </c>
      <c r="G159" s="38">
        <f>ROUND(F159*D159,2)</f>
        <v>132.4</v>
      </c>
      <c r="H159" s="55">
        <v>2</v>
      </c>
      <c r="I159" s="40" t="s">
        <v>195</v>
      </c>
      <c r="J159" s="41"/>
      <c r="L159" s="42">
        <f t="shared" si="7"/>
        <v>132.4</v>
      </c>
      <c r="M159" s="32">
        <f t="shared" si="8"/>
        <v>107.74</v>
      </c>
    </row>
    <row r="160" spans="1:13" s="32" customFormat="1" ht="64.5" customHeight="1">
      <c r="A160" s="43"/>
      <c r="B160" s="44" t="s">
        <v>204</v>
      </c>
      <c r="C160" s="36"/>
      <c r="D160" s="55"/>
      <c r="E160" s="37"/>
      <c r="F160" s="37"/>
      <c r="G160" s="38"/>
      <c r="H160" s="30"/>
      <c r="I160" s="40"/>
      <c r="J160" s="41"/>
      <c r="L160" s="42">
        <f t="shared" si="7"/>
        <v>0</v>
      </c>
      <c r="M160" s="32">
        <f t="shared" si="8"/>
        <v>0</v>
      </c>
    </row>
    <row r="161" spans="1:13" s="32" customFormat="1" ht="18.75">
      <c r="A161" s="43"/>
      <c r="B161" s="44"/>
      <c r="C161" s="36"/>
      <c r="D161" s="55"/>
      <c r="E161" s="37"/>
      <c r="F161" s="37"/>
      <c r="G161" s="38"/>
      <c r="H161" s="30"/>
      <c r="I161" s="40"/>
      <c r="J161" s="41"/>
      <c r="L161" s="42">
        <f t="shared" si="7"/>
        <v>0</v>
      </c>
      <c r="M161" s="32">
        <f t="shared" si="8"/>
        <v>0</v>
      </c>
    </row>
    <row r="162" spans="1:13" s="32" customFormat="1" ht="18.75">
      <c r="A162" s="43" t="s">
        <v>205</v>
      </c>
      <c r="B162" s="51" t="s">
        <v>206</v>
      </c>
      <c r="C162" s="36" t="s">
        <v>21</v>
      </c>
      <c r="D162" s="55">
        <v>2</v>
      </c>
      <c r="E162" s="37">
        <v>43.67</v>
      </c>
      <c r="F162" s="37">
        <f>ROUND(E162*1.2288,2)</f>
        <v>53.66</v>
      </c>
      <c r="G162" s="38">
        <f>ROUND(F162*D162,2)</f>
        <v>107.32</v>
      </c>
      <c r="H162" s="55">
        <v>2</v>
      </c>
      <c r="I162" s="40" t="s">
        <v>195</v>
      </c>
      <c r="J162" s="41"/>
      <c r="L162" s="42">
        <f t="shared" si="7"/>
        <v>107.32</v>
      </c>
      <c r="M162" s="32">
        <f t="shared" si="8"/>
        <v>87.34</v>
      </c>
    </row>
    <row r="163" spans="1:13" s="32" customFormat="1" ht="63">
      <c r="A163" s="43"/>
      <c r="B163" s="44" t="s">
        <v>207</v>
      </c>
      <c r="C163" s="36"/>
      <c r="D163" s="55"/>
      <c r="E163" s="37"/>
      <c r="F163" s="37"/>
      <c r="G163" s="38"/>
      <c r="H163" s="30"/>
      <c r="I163" s="40"/>
      <c r="J163" s="41"/>
      <c r="L163" s="42">
        <f aca="true" t="shared" si="9" ref="L163:L170">D163*F163</f>
        <v>0</v>
      </c>
      <c r="M163" s="32">
        <f t="shared" si="8"/>
        <v>0</v>
      </c>
    </row>
    <row r="164" spans="1:13" s="32" customFormat="1" ht="18.75">
      <c r="A164" s="43"/>
      <c r="B164" s="44"/>
      <c r="C164" s="36"/>
      <c r="D164" s="55"/>
      <c r="E164" s="37"/>
      <c r="F164" s="37"/>
      <c r="G164" s="38"/>
      <c r="H164" s="30"/>
      <c r="I164" s="40"/>
      <c r="J164" s="41"/>
      <c r="L164" s="42">
        <f t="shared" si="9"/>
        <v>0</v>
      </c>
      <c r="M164" s="32">
        <f t="shared" si="8"/>
        <v>0</v>
      </c>
    </row>
    <row r="165" spans="1:13" s="32" customFormat="1" ht="18.75">
      <c r="A165" s="43"/>
      <c r="B165" s="44"/>
      <c r="C165" s="36"/>
      <c r="D165" s="55"/>
      <c r="E165" s="37"/>
      <c r="F165" s="37"/>
      <c r="G165" s="38"/>
      <c r="H165" s="30"/>
      <c r="I165" s="40"/>
      <c r="J165" s="41"/>
      <c r="L165" s="42">
        <f t="shared" si="9"/>
        <v>0</v>
      </c>
      <c r="M165" s="32">
        <f t="shared" si="8"/>
        <v>0</v>
      </c>
    </row>
    <row r="166" spans="1:13" s="32" customFormat="1" ht="18.75">
      <c r="A166" s="43" t="s">
        <v>208</v>
      </c>
      <c r="B166" s="51" t="s">
        <v>209</v>
      </c>
      <c r="C166" s="36" t="s">
        <v>21</v>
      </c>
      <c r="D166" s="55">
        <v>2</v>
      </c>
      <c r="E166" s="37">
        <v>20.76</v>
      </c>
      <c r="F166" s="37">
        <f>ROUND(E166*1.2288,2)</f>
        <v>25.51</v>
      </c>
      <c r="G166" s="38">
        <f>ROUND(F166*D166,2)</f>
        <v>51.02</v>
      </c>
      <c r="H166" s="55">
        <v>2</v>
      </c>
      <c r="I166" s="40" t="s">
        <v>195</v>
      </c>
      <c r="J166" s="41"/>
      <c r="L166" s="42">
        <f t="shared" si="9"/>
        <v>51.02</v>
      </c>
      <c r="M166" s="32">
        <f t="shared" si="8"/>
        <v>41.52</v>
      </c>
    </row>
    <row r="167" spans="1:13" s="32" customFormat="1" ht="47.25">
      <c r="A167" s="43"/>
      <c r="B167" s="44" t="s">
        <v>210</v>
      </c>
      <c r="C167" s="36"/>
      <c r="D167" s="55"/>
      <c r="E167" s="37"/>
      <c r="F167" s="37"/>
      <c r="G167" s="38"/>
      <c r="H167" s="30"/>
      <c r="I167" s="40"/>
      <c r="J167" s="41"/>
      <c r="L167" s="42">
        <f t="shared" si="9"/>
        <v>0</v>
      </c>
      <c r="M167" s="32">
        <f t="shared" si="8"/>
        <v>0</v>
      </c>
    </row>
    <row r="168" spans="1:13" s="32" customFormat="1" ht="18.75">
      <c r="A168" s="43"/>
      <c r="B168" s="44"/>
      <c r="C168" s="36"/>
      <c r="D168" s="55"/>
      <c r="E168" s="37"/>
      <c r="F168" s="37"/>
      <c r="G168" s="38"/>
      <c r="H168" s="30"/>
      <c r="I168" s="40"/>
      <c r="J168" s="41"/>
      <c r="L168" s="42">
        <f t="shared" si="9"/>
        <v>0</v>
      </c>
      <c r="M168" s="32">
        <f t="shared" si="8"/>
        <v>0</v>
      </c>
    </row>
    <row r="169" spans="1:13" s="32" customFormat="1" ht="18.75">
      <c r="A169" s="43" t="s">
        <v>211</v>
      </c>
      <c r="B169" s="51" t="s">
        <v>212</v>
      </c>
      <c r="C169" s="36" t="s">
        <v>21</v>
      </c>
      <c r="D169" s="55">
        <v>2</v>
      </c>
      <c r="E169" s="37">
        <v>136.13</v>
      </c>
      <c r="F169" s="37">
        <f>ROUND(E169*1.2288,2)</f>
        <v>167.28</v>
      </c>
      <c r="G169" s="38">
        <f>ROUND(F169*D169,2)</f>
        <v>334.56</v>
      </c>
      <c r="H169" s="55">
        <v>2</v>
      </c>
      <c r="I169" s="40" t="s">
        <v>213</v>
      </c>
      <c r="J169" s="41"/>
      <c r="L169" s="42">
        <f t="shared" si="9"/>
        <v>334.56</v>
      </c>
      <c r="M169" s="32">
        <f t="shared" si="8"/>
        <v>272.26</v>
      </c>
    </row>
    <row r="170" spans="1:13" s="32" customFormat="1" ht="63">
      <c r="A170" s="43"/>
      <c r="B170" s="44" t="s">
        <v>214</v>
      </c>
      <c r="C170" s="36"/>
      <c r="D170" s="55"/>
      <c r="E170" s="37"/>
      <c r="F170" s="37"/>
      <c r="G170" s="38"/>
      <c r="H170" s="30"/>
      <c r="I170" s="40"/>
      <c r="J170" s="41"/>
      <c r="L170" s="42">
        <f t="shared" si="9"/>
        <v>0</v>
      </c>
      <c r="M170" s="32">
        <f t="shared" si="8"/>
        <v>0</v>
      </c>
    </row>
    <row r="171" spans="1:13" s="32" customFormat="1" ht="18.75">
      <c r="A171" s="43"/>
      <c r="B171" s="51"/>
      <c r="C171" s="36"/>
      <c r="D171" s="55"/>
      <c r="E171" s="37"/>
      <c r="F171" s="37"/>
      <c r="G171" s="38"/>
      <c r="H171" s="30"/>
      <c r="I171" s="40"/>
      <c r="J171" s="41"/>
      <c r="L171" s="168">
        <f>SUM(L99:L170)</f>
        <v>11573.98</v>
      </c>
      <c r="M171" s="32">
        <f t="shared" si="8"/>
        <v>0</v>
      </c>
    </row>
    <row r="172" spans="1:13" s="32" customFormat="1" ht="18" customHeight="1">
      <c r="A172" s="73"/>
      <c r="B172" s="56"/>
      <c r="C172" s="177" t="s">
        <v>35</v>
      </c>
      <c r="D172" s="177"/>
      <c r="E172" s="177"/>
      <c r="F172" s="147"/>
      <c r="G172" s="53">
        <f>SUM(G99:G171)</f>
        <v>11573.98</v>
      </c>
      <c r="H172" s="30"/>
      <c r="I172" s="40"/>
      <c r="J172" s="41"/>
      <c r="L172" s="42"/>
      <c r="M172" s="32">
        <f t="shared" si="8"/>
        <v>0</v>
      </c>
    </row>
    <row r="173" spans="1:13" s="32" customFormat="1" ht="18.75">
      <c r="A173" s="24" t="s">
        <v>215</v>
      </c>
      <c r="B173" s="25" t="s">
        <v>216</v>
      </c>
      <c r="C173" s="26"/>
      <c r="D173" s="69"/>
      <c r="E173" s="37"/>
      <c r="F173" s="37"/>
      <c r="G173" s="38"/>
      <c r="H173" s="30"/>
      <c r="I173" s="40"/>
      <c r="J173" s="41"/>
      <c r="L173" s="42"/>
      <c r="M173" s="32">
        <f t="shared" si="8"/>
        <v>0</v>
      </c>
    </row>
    <row r="174" spans="1:13" s="32" customFormat="1" ht="18.75">
      <c r="A174" s="43" t="s">
        <v>217</v>
      </c>
      <c r="B174" s="63" t="s">
        <v>116</v>
      </c>
      <c r="C174" s="36"/>
      <c r="D174" s="55"/>
      <c r="E174" s="37"/>
      <c r="F174" s="37"/>
      <c r="G174" s="38"/>
      <c r="H174" s="30"/>
      <c r="I174" s="40"/>
      <c r="J174" s="41"/>
      <c r="L174" s="42"/>
      <c r="M174" s="32">
        <f t="shared" si="8"/>
        <v>0</v>
      </c>
    </row>
    <row r="175" spans="1:13" s="32" customFormat="1" ht="47.25">
      <c r="A175" s="43" t="s">
        <v>218</v>
      </c>
      <c r="B175" s="51" t="s">
        <v>219</v>
      </c>
      <c r="C175" s="36" t="s">
        <v>21</v>
      </c>
      <c r="D175" s="55">
        <v>10</v>
      </c>
      <c r="E175" s="37">
        <v>334.19</v>
      </c>
      <c r="F175" s="37">
        <f>ROUND(E175*1.2288,2)</f>
        <v>410.65</v>
      </c>
      <c r="G175" s="38">
        <f>ROUND(F175*D175,2)</f>
        <v>4106.5</v>
      </c>
      <c r="H175" s="55">
        <v>10</v>
      </c>
      <c r="I175" s="40" t="s">
        <v>220</v>
      </c>
      <c r="J175" s="41"/>
      <c r="L175" s="42">
        <f aca="true" t="shared" si="10" ref="L175:L192">D175*F175</f>
        <v>4106.5</v>
      </c>
      <c r="M175" s="32">
        <f t="shared" si="8"/>
        <v>3341.9</v>
      </c>
    </row>
    <row r="176" spans="1:13" s="32" customFormat="1" ht="108.75" customHeight="1">
      <c r="A176" s="43"/>
      <c r="B176" s="44" t="s">
        <v>221</v>
      </c>
      <c r="C176" s="36"/>
      <c r="D176" s="55"/>
      <c r="E176" s="37"/>
      <c r="F176" s="37"/>
      <c r="G176" s="38"/>
      <c r="H176" s="30"/>
      <c r="I176" s="40"/>
      <c r="J176" s="41"/>
      <c r="L176" s="42">
        <f t="shared" si="10"/>
        <v>0</v>
      </c>
      <c r="M176" s="32">
        <f t="shared" si="8"/>
        <v>0</v>
      </c>
    </row>
    <row r="177" spans="1:13" s="32" customFormat="1" ht="18.75">
      <c r="A177" s="43"/>
      <c r="B177" s="44"/>
      <c r="C177" s="36"/>
      <c r="D177" s="55"/>
      <c r="E177" s="37"/>
      <c r="F177" s="37"/>
      <c r="G177" s="38"/>
      <c r="H177" s="30"/>
      <c r="I177" s="40"/>
      <c r="J177" s="41"/>
      <c r="L177" s="42">
        <f t="shared" si="10"/>
        <v>0</v>
      </c>
      <c r="M177" s="32">
        <f t="shared" si="8"/>
        <v>0</v>
      </c>
    </row>
    <row r="178" spans="1:13" s="32" customFormat="1" ht="18.75">
      <c r="A178" s="43"/>
      <c r="B178" s="51"/>
      <c r="C178" s="36"/>
      <c r="D178" s="55"/>
      <c r="E178" s="37"/>
      <c r="F178" s="37"/>
      <c r="G178" s="38"/>
      <c r="H178" s="30"/>
      <c r="I178" s="40"/>
      <c r="J178" s="41"/>
      <c r="L178" s="42">
        <f t="shared" si="10"/>
        <v>0</v>
      </c>
      <c r="M178" s="32">
        <f t="shared" si="8"/>
        <v>0</v>
      </c>
    </row>
    <row r="179" spans="1:13" s="32" customFormat="1" ht="18.75">
      <c r="A179" s="43" t="s">
        <v>222</v>
      </c>
      <c r="B179" s="63" t="s">
        <v>223</v>
      </c>
      <c r="C179" s="36"/>
      <c r="D179" s="55"/>
      <c r="E179" s="37"/>
      <c r="F179" s="37"/>
      <c r="G179" s="38"/>
      <c r="H179" s="30"/>
      <c r="I179" s="40"/>
      <c r="J179" s="41"/>
      <c r="L179" s="42">
        <f t="shared" si="10"/>
        <v>0</v>
      </c>
      <c r="M179" s="32">
        <f t="shared" si="8"/>
        <v>0</v>
      </c>
    </row>
    <row r="180" spans="1:13" s="32" customFormat="1" ht="94.5">
      <c r="A180" s="43"/>
      <c r="B180" s="44" t="s">
        <v>224</v>
      </c>
      <c r="C180" s="36"/>
      <c r="D180" s="55"/>
      <c r="E180" s="37"/>
      <c r="F180" s="37"/>
      <c r="G180" s="38"/>
      <c r="H180" s="30"/>
      <c r="I180" s="40"/>
      <c r="J180" s="41"/>
      <c r="L180" s="42">
        <f t="shared" si="10"/>
        <v>0</v>
      </c>
      <c r="M180" s="32">
        <f t="shared" si="8"/>
        <v>0</v>
      </c>
    </row>
    <row r="181" spans="1:13" s="32" customFormat="1" ht="18.75">
      <c r="A181" s="43"/>
      <c r="B181" s="63"/>
      <c r="C181" s="36"/>
      <c r="D181" s="55"/>
      <c r="E181" s="37"/>
      <c r="F181" s="37"/>
      <c r="G181" s="38"/>
      <c r="H181" s="30"/>
      <c r="I181" s="40"/>
      <c r="J181" s="41"/>
      <c r="L181" s="42">
        <f t="shared" si="10"/>
        <v>0</v>
      </c>
      <c r="M181" s="32">
        <f t="shared" si="8"/>
        <v>0</v>
      </c>
    </row>
    <row r="182" spans="1:13" s="32" customFormat="1" ht="31.5">
      <c r="A182" s="43" t="s">
        <v>225</v>
      </c>
      <c r="B182" s="51" t="s">
        <v>226</v>
      </c>
      <c r="C182" s="36" t="s">
        <v>98</v>
      </c>
      <c r="D182" s="55">
        <v>50</v>
      </c>
      <c r="E182" s="37">
        <v>20.48</v>
      </c>
      <c r="F182" s="37">
        <f>ROUND(E182*1.2288,2)</f>
        <v>25.17</v>
      </c>
      <c r="G182" s="38">
        <f>ROUND(F182*D182,2)</f>
        <v>1258.5</v>
      </c>
      <c r="H182" s="55">
        <v>50</v>
      </c>
      <c r="I182" s="40" t="s">
        <v>227</v>
      </c>
      <c r="J182" s="41"/>
      <c r="L182" s="42">
        <f t="shared" si="10"/>
        <v>1258.5</v>
      </c>
      <c r="M182" s="32">
        <f t="shared" si="8"/>
        <v>1024</v>
      </c>
    </row>
    <row r="183" spans="1:13" s="32" customFormat="1" ht="18.75">
      <c r="A183" s="43"/>
      <c r="B183" s="44"/>
      <c r="C183" s="36"/>
      <c r="D183" s="55"/>
      <c r="E183" s="37"/>
      <c r="F183" s="37"/>
      <c r="G183" s="38"/>
      <c r="H183"/>
      <c r="I183" s="40"/>
      <c r="J183" s="41"/>
      <c r="L183" s="42">
        <f t="shared" si="10"/>
        <v>0</v>
      </c>
      <c r="M183" s="32">
        <f t="shared" si="8"/>
        <v>0</v>
      </c>
    </row>
    <row r="184" spans="1:13" s="32" customFormat="1" ht="18.75">
      <c r="A184" s="43"/>
      <c r="B184" s="44"/>
      <c r="C184" s="36"/>
      <c r="D184" s="55"/>
      <c r="E184" s="37"/>
      <c r="F184" s="37"/>
      <c r="G184" s="38"/>
      <c r="H184" s="30"/>
      <c r="I184" s="40"/>
      <c r="J184" s="41"/>
      <c r="L184" s="42">
        <f t="shared" si="10"/>
        <v>0</v>
      </c>
      <c r="M184" s="32">
        <f t="shared" si="8"/>
        <v>0</v>
      </c>
    </row>
    <row r="185" spans="1:13" s="32" customFormat="1" ht="31.5">
      <c r="A185" s="43" t="s">
        <v>228</v>
      </c>
      <c r="B185" s="51" t="s">
        <v>229</v>
      </c>
      <c r="C185" s="36" t="s">
        <v>98</v>
      </c>
      <c r="D185" s="55">
        <v>100</v>
      </c>
      <c r="E185" s="37">
        <v>42.17</v>
      </c>
      <c r="F185" s="37">
        <f>ROUND(E185*1.2288,2)</f>
        <v>51.82</v>
      </c>
      <c r="G185" s="38">
        <f>ROUND(F185*D185,2)</f>
        <v>5182</v>
      </c>
      <c r="H185" s="55">
        <v>100</v>
      </c>
      <c r="I185" s="40" t="s">
        <v>230</v>
      </c>
      <c r="J185" s="41"/>
      <c r="L185" s="42">
        <f t="shared" si="10"/>
        <v>5182</v>
      </c>
      <c r="M185" s="32">
        <f t="shared" si="8"/>
        <v>4217</v>
      </c>
    </row>
    <row r="186" spans="1:13" s="32" customFormat="1" ht="18.75">
      <c r="A186" s="43"/>
      <c r="B186" s="51"/>
      <c r="C186" s="36"/>
      <c r="D186" s="55"/>
      <c r="E186" s="37"/>
      <c r="F186" s="37"/>
      <c r="G186" s="38"/>
      <c r="H186" s="30"/>
      <c r="I186" s="40"/>
      <c r="J186" s="41"/>
      <c r="L186" s="42">
        <f t="shared" si="10"/>
        <v>0</v>
      </c>
      <c r="M186" s="32">
        <f t="shared" si="8"/>
        <v>0</v>
      </c>
    </row>
    <row r="187" spans="1:13" s="32" customFormat="1" ht="47.25">
      <c r="A187" s="43" t="s">
        <v>231</v>
      </c>
      <c r="B187" s="51" t="s">
        <v>232</v>
      </c>
      <c r="C187" s="36" t="s">
        <v>98</v>
      </c>
      <c r="D187" s="55">
        <v>25</v>
      </c>
      <c r="E187" s="37">
        <v>71.3</v>
      </c>
      <c r="F187" s="37">
        <f>ROUND(E187*1.2288,2)</f>
        <v>87.61</v>
      </c>
      <c r="G187" s="38">
        <f>ROUND(F187*D187,2)</f>
        <v>2190.25</v>
      </c>
      <c r="H187" s="55">
        <v>25</v>
      </c>
      <c r="I187" s="40" t="s">
        <v>233</v>
      </c>
      <c r="J187" s="41"/>
      <c r="L187" s="42">
        <f t="shared" si="10"/>
        <v>2190.25</v>
      </c>
      <c r="M187" s="32">
        <f t="shared" si="8"/>
        <v>1782.5</v>
      </c>
    </row>
    <row r="188" spans="1:13" s="32" customFormat="1" ht="18.75">
      <c r="A188" s="43"/>
      <c r="B188" s="44"/>
      <c r="C188" s="36"/>
      <c r="D188" s="55"/>
      <c r="E188" s="37"/>
      <c r="F188" s="37"/>
      <c r="G188" s="38"/>
      <c r="H188" s="30"/>
      <c r="I188" s="40"/>
      <c r="J188" s="41"/>
      <c r="L188" s="42">
        <f t="shared" si="10"/>
        <v>0</v>
      </c>
      <c r="M188" s="32">
        <f t="shared" si="8"/>
        <v>0</v>
      </c>
    </row>
    <row r="189" spans="1:13" s="32" customFormat="1" ht="18.75">
      <c r="A189" s="43" t="s">
        <v>234</v>
      </c>
      <c r="B189" s="63" t="s">
        <v>235</v>
      </c>
      <c r="C189" s="36"/>
      <c r="D189" s="55"/>
      <c r="E189" s="37"/>
      <c r="F189" s="37"/>
      <c r="G189" s="38"/>
      <c r="H189" s="30"/>
      <c r="I189" s="40"/>
      <c r="J189" s="41"/>
      <c r="L189" s="42">
        <f t="shared" si="10"/>
        <v>0</v>
      </c>
      <c r="M189" s="32">
        <f t="shared" si="8"/>
        <v>0</v>
      </c>
    </row>
    <row r="190" spans="1:13" s="32" customFormat="1" ht="18.75">
      <c r="A190" s="43"/>
      <c r="B190" s="44"/>
      <c r="C190" s="36"/>
      <c r="D190" s="55"/>
      <c r="E190" s="37"/>
      <c r="F190" s="82"/>
      <c r="G190" s="59"/>
      <c r="H190" s="30"/>
      <c r="I190" s="40"/>
      <c r="J190" s="41"/>
      <c r="L190" s="42">
        <f t="shared" si="10"/>
        <v>0</v>
      </c>
      <c r="M190" s="32">
        <f t="shared" si="8"/>
        <v>0</v>
      </c>
    </row>
    <row r="191" spans="1:13" s="32" customFormat="1" ht="18.75">
      <c r="A191" s="43" t="s">
        <v>236</v>
      </c>
      <c r="B191" s="63" t="s">
        <v>237</v>
      </c>
      <c r="C191" s="36"/>
      <c r="D191" s="55"/>
      <c r="E191" s="37"/>
      <c r="F191" s="37"/>
      <c r="G191" s="38"/>
      <c r="H191" s="30"/>
      <c r="I191" s="40"/>
      <c r="J191" s="41"/>
      <c r="L191" s="42">
        <f t="shared" si="10"/>
        <v>0</v>
      </c>
      <c r="M191" s="32">
        <f t="shared" si="8"/>
        <v>0</v>
      </c>
    </row>
    <row r="192" spans="1:13" s="32" customFormat="1" ht="18.75">
      <c r="A192" s="43" t="s">
        <v>238</v>
      </c>
      <c r="B192" s="51" t="s">
        <v>239</v>
      </c>
      <c r="C192" s="36" t="s">
        <v>21</v>
      </c>
      <c r="D192" s="55">
        <v>2</v>
      </c>
      <c r="E192" s="37">
        <v>57.74</v>
      </c>
      <c r="F192" s="37">
        <f>ROUND(E192*1.2288,2)</f>
        <v>70.95</v>
      </c>
      <c r="G192" s="38">
        <f>ROUND(F192*D192,2)</f>
        <v>141.9</v>
      </c>
      <c r="H192" s="55">
        <v>2</v>
      </c>
      <c r="I192" s="40" t="s">
        <v>213</v>
      </c>
      <c r="J192" s="41"/>
      <c r="L192" s="42">
        <f t="shared" si="10"/>
        <v>141.9</v>
      </c>
      <c r="M192" s="32">
        <f t="shared" si="8"/>
        <v>115.48</v>
      </c>
    </row>
    <row r="193" spans="1:13" s="32" customFormat="1" ht="51" customHeight="1">
      <c r="A193" s="43"/>
      <c r="B193" s="44" t="s">
        <v>240</v>
      </c>
      <c r="C193" s="36"/>
      <c r="D193" s="55"/>
      <c r="E193" s="37"/>
      <c r="F193" s="37"/>
      <c r="G193" s="38"/>
      <c r="H193" s="30"/>
      <c r="I193" s="40"/>
      <c r="J193" s="41"/>
      <c r="L193" s="42"/>
      <c r="M193" s="32">
        <f t="shared" si="8"/>
        <v>0</v>
      </c>
    </row>
    <row r="194" spans="1:13" s="32" customFormat="1" ht="18" customHeight="1">
      <c r="A194" s="65"/>
      <c r="B194" s="67"/>
      <c r="C194" s="177" t="s">
        <v>35</v>
      </c>
      <c r="D194" s="177"/>
      <c r="E194" s="177"/>
      <c r="F194" s="147"/>
      <c r="G194" s="53">
        <f>SUM(G174:G193)</f>
        <v>12879.15</v>
      </c>
      <c r="H194" s="30"/>
      <c r="I194" s="40"/>
      <c r="J194" s="41"/>
      <c r="L194" s="168">
        <f>SUM(L175:L193)</f>
        <v>12879.15</v>
      </c>
      <c r="M194" s="32">
        <f t="shared" si="8"/>
        <v>0</v>
      </c>
    </row>
    <row r="195" spans="1:13" s="32" customFormat="1" ht="18.75">
      <c r="A195" s="24">
        <v>100000</v>
      </c>
      <c r="B195" s="25" t="s">
        <v>241</v>
      </c>
      <c r="C195" s="26"/>
      <c r="D195" s="69"/>
      <c r="E195" s="37"/>
      <c r="F195" s="37"/>
      <c r="G195" s="38"/>
      <c r="H195" s="30"/>
      <c r="I195" s="40"/>
      <c r="J195" s="41"/>
      <c r="L195" s="42"/>
      <c r="M195" s="32">
        <f t="shared" si="8"/>
        <v>0</v>
      </c>
    </row>
    <row r="196" spans="1:13" s="32" customFormat="1" ht="18.75">
      <c r="A196" s="43" t="s">
        <v>242</v>
      </c>
      <c r="B196" s="63" t="s">
        <v>243</v>
      </c>
      <c r="C196" s="36"/>
      <c r="D196" s="55"/>
      <c r="E196" s="37"/>
      <c r="F196" s="37"/>
      <c r="G196" s="38"/>
      <c r="H196" s="30"/>
      <c r="I196" s="40"/>
      <c r="J196" s="41"/>
      <c r="L196" s="42"/>
      <c r="M196" s="32">
        <f t="shared" si="8"/>
        <v>0</v>
      </c>
    </row>
    <row r="197" spans="1:13" s="32" customFormat="1" ht="18.75">
      <c r="A197" s="43"/>
      <c r="B197" s="51"/>
      <c r="C197" s="36"/>
      <c r="D197" s="55"/>
      <c r="E197" s="37"/>
      <c r="F197" s="37"/>
      <c r="G197" s="38"/>
      <c r="H197" s="30"/>
      <c r="I197" s="40"/>
      <c r="J197" s="41"/>
      <c r="L197" s="42"/>
      <c r="M197" s="32">
        <f t="shared" si="8"/>
        <v>0</v>
      </c>
    </row>
    <row r="198" spans="1:13" s="32" customFormat="1" ht="18.75">
      <c r="A198" s="43" t="s">
        <v>244</v>
      </c>
      <c r="B198" s="63" t="s">
        <v>245</v>
      </c>
      <c r="C198" s="36"/>
      <c r="D198" s="55"/>
      <c r="E198" s="37"/>
      <c r="F198" s="37"/>
      <c r="G198" s="38"/>
      <c r="H198" s="30"/>
      <c r="I198" s="40"/>
      <c r="J198" s="41"/>
      <c r="L198" s="42"/>
      <c r="M198" s="32">
        <f t="shared" si="8"/>
        <v>0</v>
      </c>
    </row>
    <row r="199" spans="1:13" s="32" customFormat="1" ht="78.75">
      <c r="A199" s="43"/>
      <c r="B199" s="44" t="s">
        <v>246</v>
      </c>
      <c r="C199" s="36"/>
      <c r="D199" s="55"/>
      <c r="E199" s="37"/>
      <c r="F199" s="37"/>
      <c r="G199" s="38"/>
      <c r="H199" s="30"/>
      <c r="I199" s="40"/>
      <c r="J199" s="41"/>
      <c r="L199" s="42"/>
      <c r="M199" s="32">
        <f t="shared" si="8"/>
        <v>0</v>
      </c>
    </row>
    <row r="200" spans="1:13" s="32" customFormat="1" ht="18.75">
      <c r="A200" s="43"/>
      <c r="B200" s="63"/>
      <c r="C200" s="36"/>
      <c r="D200" s="55"/>
      <c r="E200" s="37"/>
      <c r="F200" s="37"/>
      <c r="G200" s="38"/>
      <c r="H200" s="30"/>
      <c r="I200" s="40"/>
      <c r="J200" s="41"/>
      <c r="L200" s="42"/>
      <c r="M200" s="32">
        <f aca="true" t="shared" si="11" ref="M200:M263">D200*E200</f>
        <v>0</v>
      </c>
    </row>
    <row r="201" spans="1:13" s="32" customFormat="1" ht="18.75">
      <c r="A201" s="43"/>
      <c r="B201" s="74"/>
      <c r="C201" s="36"/>
      <c r="D201" s="55"/>
      <c r="E201" s="37"/>
      <c r="F201" s="37"/>
      <c r="G201" s="38"/>
      <c r="H201" s="30"/>
      <c r="I201" s="40"/>
      <c r="J201" s="41"/>
      <c r="L201" s="42"/>
      <c r="M201" s="32">
        <f t="shared" si="11"/>
        <v>0</v>
      </c>
    </row>
    <row r="202" spans="1:13" s="32" customFormat="1" ht="31.5">
      <c r="A202" s="43" t="s">
        <v>247</v>
      </c>
      <c r="B202" s="47" t="s">
        <v>248</v>
      </c>
      <c r="C202" s="36" t="s">
        <v>21</v>
      </c>
      <c r="D202" s="55">
        <v>3</v>
      </c>
      <c r="E202" s="37">
        <v>137.23</v>
      </c>
      <c r="F202" s="37">
        <f>ROUND(E202*1.2288,2)</f>
        <v>168.63</v>
      </c>
      <c r="G202" s="38">
        <f>ROUND(F202*D202,2)</f>
        <v>505.89</v>
      </c>
      <c r="H202" s="30">
        <v>3</v>
      </c>
      <c r="I202" s="40" t="s">
        <v>249</v>
      </c>
      <c r="J202" s="41"/>
      <c r="L202" s="42">
        <f aca="true" t="shared" si="12" ref="L202:L265">D202*F202</f>
        <v>505.89</v>
      </c>
      <c r="M202" s="32">
        <f t="shared" si="11"/>
        <v>411.68999999999994</v>
      </c>
    </row>
    <row r="203" spans="1:13" s="32" customFormat="1" ht="18.75">
      <c r="A203" s="43"/>
      <c r="B203" s="74"/>
      <c r="C203" s="36"/>
      <c r="D203" s="55"/>
      <c r="E203" s="37"/>
      <c r="F203" s="37"/>
      <c r="G203" s="38"/>
      <c r="H203" s="39"/>
      <c r="I203" s="40"/>
      <c r="J203" s="41"/>
      <c r="L203" s="42">
        <f t="shared" si="12"/>
        <v>0</v>
      </c>
      <c r="M203" s="32">
        <f t="shared" si="11"/>
        <v>0</v>
      </c>
    </row>
    <row r="204" spans="1:13" s="32" customFormat="1" ht="18.75">
      <c r="A204" s="43"/>
      <c r="B204" s="44"/>
      <c r="C204" s="36"/>
      <c r="D204" s="55"/>
      <c r="E204" s="37"/>
      <c r="F204" s="37"/>
      <c r="G204" s="38"/>
      <c r="H204" s="30"/>
      <c r="I204" s="40"/>
      <c r="J204" s="41"/>
      <c r="L204" s="42">
        <f t="shared" si="12"/>
        <v>0</v>
      </c>
      <c r="M204" s="32">
        <f t="shared" si="11"/>
        <v>0</v>
      </c>
    </row>
    <row r="205" spans="1:13" s="32" customFormat="1" ht="18.75">
      <c r="A205" s="43" t="s">
        <v>250</v>
      </c>
      <c r="B205" s="63" t="s">
        <v>251</v>
      </c>
      <c r="C205" s="36"/>
      <c r="D205" s="55"/>
      <c r="E205" s="37"/>
      <c r="F205" s="37"/>
      <c r="G205" s="38"/>
      <c r="H205" s="30"/>
      <c r="I205" s="40"/>
      <c r="J205" s="41"/>
      <c r="L205" s="42">
        <f t="shared" si="12"/>
        <v>0</v>
      </c>
      <c r="M205" s="32">
        <f t="shared" si="11"/>
        <v>0</v>
      </c>
    </row>
    <row r="206" spans="1:13" s="32" customFormat="1" ht="47.25">
      <c r="A206" s="43" t="s">
        <v>252</v>
      </c>
      <c r="B206" s="51" t="s">
        <v>253</v>
      </c>
      <c r="C206" s="36" t="s">
        <v>21</v>
      </c>
      <c r="D206" s="55">
        <v>7</v>
      </c>
      <c r="E206" s="37">
        <v>24.1</v>
      </c>
      <c r="F206" s="37">
        <f>ROUND(E206*1.2288,2)</f>
        <v>29.61</v>
      </c>
      <c r="G206" s="38">
        <f>ROUND(F206*D206,2)</f>
        <v>207.27</v>
      </c>
      <c r="H206" s="55">
        <v>7</v>
      </c>
      <c r="I206" s="40" t="s">
        <v>254</v>
      </c>
      <c r="J206" s="41"/>
      <c r="L206" s="42">
        <f t="shared" si="12"/>
        <v>207.26999999999998</v>
      </c>
      <c r="M206" s="32">
        <f t="shared" si="11"/>
        <v>168.70000000000002</v>
      </c>
    </row>
    <row r="207" spans="1:13" s="32" customFormat="1" ht="63">
      <c r="A207" s="43"/>
      <c r="B207" s="44" t="s">
        <v>255</v>
      </c>
      <c r="C207" s="36"/>
      <c r="D207" s="55"/>
      <c r="E207" s="37"/>
      <c r="F207" s="37"/>
      <c r="G207" s="38"/>
      <c r="H207" s="30"/>
      <c r="I207" s="40"/>
      <c r="J207" s="41"/>
      <c r="L207" s="42">
        <f t="shared" si="12"/>
        <v>0</v>
      </c>
      <c r="M207" s="32">
        <f t="shared" si="11"/>
        <v>0</v>
      </c>
    </row>
    <row r="208" spans="1:13" s="32" customFormat="1" ht="18.75">
      <c r="A208" s="43"/>
      <c r="B208" s="44"/>
      <c r="C208" s="36"/>
      <c r="D208" s="55"/>
      <c r="E208" s="37"/>
      <c r="F208" s="37"/>
      <c r="G208" s="38"/>
      <c r="H208" s="30"/>
      <c r="I208" s="40"/>
      <c r="J208" s="41"/>
      <c r="L208" s="42">
        <f t="shared" si="12"/>
        <v>0</v>
      </c>
      <c r="M208" s="32">
        <f t="shared" si="11"/>
        <v>0</v>
      </c>
    </row>
    <row r="209" spans="1:13" s="32" customFormat="1" ht="18.75">
      <c r="A209" s="43"/>
      <c r="B209" s="44"/>
      <c r="C209" s="36"/>
      <c r="D209" s="55"/>
      <c r="E209" s="37"/>
      <c r="F209" s="37"/>
      <c r="G209" s="38"/>
      <c r="H209" s="30"/>
      <c r="I209" s="40"/>
      <c r="J209" s="41"/>
      <c r="L209" s="42">
        <f t="shared" si="12"/>
        <v>0</v>
      </c>
      <c r="M209" s="32">
        <f t="shared" si="11"/>
        <v>0</v>
      </c>
    </row>
    <row r="210" spans="1:13" s="32" customFormat="1" ht="31.5">
      <c r="A210" s="43" t="s">
        <v>256</v>
      </c>
      <c r="B210" s="51" t="s">
        <v>257</v>
      </c>
      <c r="C210" s="36" t="s">
        <v>21</v>
      </c>
      <c r="D210" s="55">
        <v>4</v>
      </c>
      <c r="E210" s="37">
        <v>14.2</v>
      </c>
      <c r="F210" s="37">
        <f>ROUND(E210*1.2288,2)</f>
        <v>17.45</v>
      </c>
      <c r="G210" s="38">
        <f>ROUND(F210*D210,2)</f>
        <v>69.8</v>
      </c>
      <c r="H210" s="55">
        <v>4</v>
      </c>
      <c r="I210" s="40" t="s">
        <v>258</v>
      </c>
      <c r="J210" s="41"/>
      <c r="L210" s="42">
        <f t="shared" si="12"/>
        <v>69.8</v>
      </c>
      <c r="M210" s="32">
        <f t="shared" si="11"/>
        <v>56.8</v>
      </c>
    </row>
    <row r="211" spans="1:13" s="32" customFormat="1" ht="63">
      <c r="A211" s="43"/>
      <c r="B211" s="44" t="s">
        <v>259</v>
      </c>
      <c r="C211" s="36"/>
      <c r="D211" s="55"/>
      <c r="E211" s="37"/>
      <c r="F211" s="37"/>
      <c r="G211" s="38"/>
      <c r="H211" s="30"/>
      <c r="I211" s="40"/>
      <c r="J211" s="41"/>
      <c r="L211" s="42">
        <f t="shared" si="12"/>
        <v>0</v>
      </c>
      <c r="M211" s="32">
        <f t="shared" si="11"/>
        <v>0</v>
      </c>
    </row>
    <row r="212" spans="1:13" s="32" customFormat="1" ht="18.75">
      <c r="A212" s="43"/>
      <c r="B212" s="44"/>
      <c r="C212" s="36"/>
      <c r="D212" s="55"/>
      <c r="E212" s="37"/>
      <c r="F212" s="37"/>
      <c r="G212" s="38"/>
      <c r="H212" s="30"/>
      <c r="I212" s="40"/>
      <c r="J212" s="41"/>
      <c r="L212" s="42">
        <f t="shared" si="12"/>
        <v>0</v>
      </c>
      <c r="M212" s="32">
        <f t="shared" si="11"/>
        <v>0</v>
      </c>
    </row>
    <row r="213" spans="1:13" s="32" customFormat="1" ht="18.75">
      <c r="A213" s="43"/>
      <c r="B213" s="44"/>
      <c r="C213" s="36"/>
      <c r="D213" s="55"/>
      <c r="E213" s="37"/>
      <c r="F213" s="37"/>
      <c r="G213" s="38"/>
      <c r="H213" s="30"/>
      <c r="I213" s="40"/>
      <c r="J213" s="41"/>
      <c r="L213" s="42">
        <f t="shared" si="12"/>
        <v>0</v>
      </c>
      <c r="M213" s="32">
        <f t="shared" si="11"/>
        <v>0</v>
      </c>
    </row>
    <row r="214" spans="1:13" s="32" customFormat="1" ht="18.75">
      <c r="A214" s="43" t="s">
        <v>260</v>
      </c>
      <c r="B214" s="63" t="s">
        <v>261</v>
      </c>
      <c r="C214" s="36"/>
      <c r="D214" s="55"/>
      <c r="E214" s="37"/>
      <c r="F214" s="37"/>
      <c r="G214" s="38"/>
      <c r="H214" s="30"/>
      <c r="I214" s="40"/>
      <c r="J214" s="41"/>
      <c r="L214" s="42">
        <f t="shared" si="12"/>
        <v>0</v>
      </c>
      <c r="M214" s="32">
        <f t="shared" si="11"/>
        <v>0</v>
      </c>
    </row>
    <row r="215" spans="1:13" s="32" customFormat="1" ht="94.5">
      <c r="A215" s="43"/>
      <c r="B215" s="44" t="s">
        <v>262</v>
      </c>
      <c r="C215" s="36"/>
      <c r="D215" s="55"/>
      <c r="E215" s="37"/>
      <c r="F215" s="37"/>
      <c r="G215" s="38"/>
      <c r="H215" s="30"/>
      <c r="I215" s="40"/>
      <c r="J215" s="41"/>
      <c r="L215" s="42">
        <f t="shared" si="12"/>
        <v>0</v>
      </c>
      <c r="M215" s="32">
        <f t="shared" si="11"/>
        <v>0</v>
      </c>
    </row>
    <row r="216" spans="1:13" s="32" customFormat="1" ht="18.75">
      <c r="A216" s="43"/>
      <c r="B216" s="63"/>
      <c r="C216" s="36"/>
      <c r="D216" s="55"/>
      <c r="E216" s="37"/>
      <c r="F216" s="37"/>
      <c r="G216" s="38"/>
      <c r="H216" s="30"/>
      <c r="I216" s="40"/>
      <c r="J216" s="41"/>
      <c r="L216" s="42">
        <f t="shared" si="12"/>
        <v>0</v>
      </c>
      <c r="M216" s="32">
        <f t="shared" si="11"/>
        <v>0</v>
      </c>
    </row>
    <row r="217" spans="1:13" s="32" customFormat="1" ht="18.75">
      <c r="A217" s="43" t="s">
        <v>263</v>
      </c>
      <c r="B217" s="51" t="s">
        <v>264</v>
      </c>
      <c r="C217" s="36" t="s">
        <v>21</v>
      </c>
      <c r="D217" s="55">
        <v>4</v>
      </c>
      <c r="E217" s="37">
        <v>18.84</v>
      </c>
      <c r="F217" s="37">
        <f>ROUND(E217*1.2288,2)</f>
        <v>23.15</v>
      </c>
      <c r="G217" s="38">
        <f>ROUND(F217*D217,2)</f>
        <v>92.6</v>
      </c>
      <c r="H217" s="55">
        <v>4</v>
      </c>
      <c r="I217" s="40" t="s">
        <v>265</v>
      </c>
      <c r="J217" s="41"/>
      <c r="L217" s="42">
        <f t="shared" si="12"/>
        <v>92.6</v>
      </c>
      <c r="M217" s="32">
        <f t="shared" si="11"/>
        <v>75.36</v>
      </c>
    </row>
    <row r="218" spans="1:13" s="32" customFormat="1" ht="18.75">
      <c r="A218" s="43"/>
      <c r="B218" s="44"/>
      <c r="C218" s="36"/>
      <c r="D218" s="55"/>
      <c r="E218" s="37"/>
      <c r="F218" s="37"/>
      <c r="G218" s="38"/>
      <c r="H218" s="30"/>
      <c r="I218" s="40"/>
      <c r="J218" s="41"/>
      <c r="L218" s="42">
        <f t="shared" si="12"/>
        <v>0</v>
      </c>
      <c r="M218" s="32">
        <f t="shared" si="11"/>
        <v>0</v>
      </c>
    </row>
    <row r="219" spans="1:13" s="32" customFormat="1" ht="18.75">
      <c r="A219" s="43"/>
      <c r="B219" s="44"/>
      <c r="C219" s="36"/>
      <c r="D219" s="55"/>
      <c r="E219" s="37"/>
      <c r="F219" s="37"/>
      <c r="G219" s="38"/>
      <c r="H219" s="30"/>
      <c r="I219" s="40"/>
      <c r="J219" s="41"/>
      <c r="L219" s="42">
        <f t="shared" si="12"/>
        <v>0</v>
      </c>
      <c r="M219" s="32">
        <f t="shared" si="11"/>
        <v>0</v>
      </c>
    </row>
    <row r="220" spans="1:13" s="32" customFormat="1" ht="18.75">
      <c r="A220" s="43" t="s">
        <v>266</v>
      </c>
      <c r="B220" s="51" t="s">
        <v>267</v>
      </c>
      <c r="C220" s="36" t="s">
        <v>21</v>
      </c>
      <c r="D220" s="55">
        <v>4</v>
      </c>
      <c r="E220" s="37">
        <v>44.6</v>
      </c>
      <c r="F220" s="37">
        <f>ROUND(E220*1.2288,2)</f>
        <v>54.8</v>
      </c>
      <c r="G220" s="38">
        <f>ROUND(F220*D220,2)</f>
        <v>219.2</v>
      </c>
      <c r="H220" s="55">
        <v>4</v>
      </c>
      <c r="I220" s="40" t="s">
        <v>265</v>
      </c>
      <c r="J220" s="41"/>
      <c r="L220" s="42">
        <f t="shared" si="12"/>
        <v>219.2</v>
      </c>
      <c r="M220" s="32">
        <f t="shared" si="11"/>
        <v>178.4</v>
      </c>
    </row>
    <row r="221" spans="1:13" s="32" customFormat="1" ht="18.75">
      <c r="A221" s="43"/>
      <c r="B221" s="44"/>
      <c r="C221" s="36"/>
      <c r="D221" s="55"/>
      <c r="E221" s="37"/>
      <c r="F221" s="37"/>
      <c r="G221" s="38"/>
      <c r="H221" s="30"/>
      <c r="I221" s="40"/>
      <c r="J221" s="41"/>
      <c r="L221" s="42">
        <f t="shared" si="12"/>
        <v>0</v>
      </c>
      <c r="M221" s="32">
        <f t="shared" si="11"/>
        <v>0</v>
      </c>
    </row>
    <row r="222" spans="1:13" s="32" customFormat="1" ht="18.75">
      <c r="A222" s="43"/>
      <c r="B222" s="44"/>
      <c r="C222" s="36"/>
      <c r="D222" s="55"/>
      <c r="E222" s="37"/>
      <c r="F222" s="37"/>
      <c r="G222" s="38"/>
      <c r="H222" s="30"/>
      <c r="I222" s="40"/>
      <c r="J222" s="41"/>
      <c r="L222" s="42">
        <f t="shared" si="12"/>
        <v>0</v>
      </c>
      <c r="M222" s="32">
        <f t="shared" si="11"/>
        <v>0</v>
      </c>
    </row>
    <row r="223" spans="1:13" s="32" customFormat="1" ht="18.75">
      <c r="A223" s="43"/>
      <c r="B223" s="44"/>
      <c r="C223" s="36"/>
      <c r="D223" s="55"/>
      <c r="E223" s="37"/>
      <c r="F223" s="37"/>
      <c r="G223" s="38"/>
      <c r="H223" s="30"/>
      <c r="I223" s="40"/>
      <c r="J223" s="41"/>
      <c r="L223" s="42">
        <f t="shared" si="12"/>
        <v>0</v>
      </c>
      <c r="M223" s="32">
        <f t="shared" si="11"/>
        <v>0</v>
      </c>
    </row>
    <row r="224" spans="1:13" s="32" customFormat="1" ht="31.5">
      <c r="A224" s="75" t="s">
        <v>268</v>
      </c>
      <c r="B224" s="47" t="s">
        <v>269</v>
      </c>
      <c r="C224" s="76" t="s">
        <v>21</v>
      </c>
      <c r="D224" s="55">
        <v>1</v>
      </c>
      <c r="E224" s="37">
        <v>106.47</v>
      </c>
      <c r="F224" s="37">
        <f>ROUND(E224*1.2288,2)</f>
        <v>130.83</v>
      </c>
      <c r="G224" s="38">
        <f>ROUND(F224*D224,2)</f>
        <v>130.83</v>
      </c>
      <c r="H224" s="55">
        <v>1</v>
      </c>
      <c r="I224" s="40" t="s">
        <v>265</v>
      </c>
      <c r="J224" s="41"/>
      <c r="L224" s="42">
        <f t="shared" si="12"/>
        <v>130.83</v>
      </c>
      <c r="M224" s="32">
        <f t="shared" si="11"/>
        <v>106.47</v>
      </c>
    </row>
    <row r="225" spans="1:13" s="32" customFormat="1" ht="18.75">
      <c r="A225" s="75"/>
      <c r="B225" s="77"/>
      <c r="C225" s="76"/>
      <c r="D225" s="55"/>
      <c r="E225" s="37"/>
      <c r="F225" s="37"/>
      <c r="G225" s="38"/>
      <c r="H225" s="30"/>
      <c r="I225" s="40"/>
      <c r="J225" s="41"/>
      <c r="L225" s="42">
        <f t="shared" si="12"/>
        <v>0</v>
      </c>
      <c r="M225" s="32">
        <f t="shared" si="11"/>
        <v>0</v>
      </c>
    </row>
    <row r="226" spans="1:13" s="32" customFormat="1" ht="18.75">
      <c r="A226" s="75"/>
      <c r="B226" s="74"/>
      <c r="C226" s="76"/>
      <c r="D226" s="55"/>
      <c r="E226" s="37"/>
      <c r="F226" s="37"/>
      <c r="G226" s="38"/>
      <c r="H226" s="30"/>
      <c r="I226" s="40"/>
      <c r="J226" s="41"/>
      <c r="L226" s="42">
        <f t="shared" si="12"/>
        <v>0</v>
      </c>
      <c r="M226" s="32">
        <f t="shared" si="11"/>
        <v>0</v>
      </c>
    </row>
    <row r="227" spans="1:13" s="32" customFormat="1" ht="18.75">
      <c r="A227" s="43"/>
      <c r="B227" s="44"/>
      <c r="C227" s="36"/>
      <c r="D227" s="55"/>
      <c r="E227" s="37"/>
      <c r="F227" s="37"/>
      <c r="G227" s="38"/>
      <c r="H227" s="30"/>
      <c r="I227" s="40"/>
      <c r="J227" s="41"/>
      <c r="L227" s="42">
        <f t="shared" si="12"/>
        <v>0</v>
      </c>
      <c r="M227" s="32">
        <f t="shared" si="11"/>
        <v>0</v>
      </c>
    </row>
    <row r="228" spans="1:13" s="32" customFormat="1" ht="18.75">
      <c r="A228" s="43" t="s">
        <v>270</v>
      </c>
      <c r="B228" s="63" t="s">
        <v>271</v>
      </c>
      <c r="C228" s="36"/>
      <c r="D228" s="55"/>
      <c r="E228" s="37"/>
      <c r="F228" s="37"/>
      <c r="G228" s="38"/>
      <c r="H228" s="30"/>
      <c r="I228" s="40"/>
      <c r="J228" s="41"/>
      <c r="L228" s="42">
        <f t="shared" si="12"/>
        <v>0</v>
      </c>
      <c r="M228" s="32">
        <f t="shared" si="11"/>
        <v>0</v>
      </c>
    </row>
    <row r="229" spans="1:13" s="32" customFormat="1" ht="78.75">
      <c r="A229" s="43"/>
      <c r="B229" s="44" t="s">
        <v>272</v>
      </c>
      <c r="C229" s="36"/>
      <c r="D229" s="55"/>
      <c r="E229" s="37"/>
      <c r="F229" s="37"/>
      <c r="G229" s="38"/>
      <c r="H229" s="30"/>
      <c r="I229" s="40"/>
      <c r="J229" s="41"/>
      <c r="L229" s="42">
        <f t="shared" si="12"/>
        <v>0</v>
      </c>
      <c r="M229" s="32">
        <f t="shared" si="11"/>
        <v>0</v>
      </c>
    </row>
    <row r="230" spans="1:13" s="32" customFormat="1" ht="18.75">
      <c r="A230" s="43"/>
      <c r="B230" s="63"/>
      <c r="C230" s="36"/>
      <c r="D230" s="55"/>
      <c r="E230" s="37"/>
      <c r="F230" s="37"/>
      <c r="G230" s="38"/>
      <c r="H230" s="30"/>
      <c r="I230" s="40"/>
      <c r="J230" s="41"/>
      <c r="L230" s="42">
        <f t="shared" si="12"/>
        <v>0</v>
      </c>
      <c r="M230" s="32">
        <f t="shared" si="11"/>
        <v>0</v>
      </c>
    </row>
    <row r="231" spans="1:13" s="32" customFormat="1" ht="18.75">
      <c r="A231" s="43"/>
      <c r="B231" s="44"/>
      <c r="C231" s="36"/>
      <c r="D231" s="55"/>
      <c r="E231" s="37"/>
      <c r="F231" s="37"/>
      <c r="G231" s="38"/>
      <c r="H231" s="30"/>
      <c r="I231" s="40"/>
      <c r="J231" s="41"/>
      <c r="L231" s="42">
        <f t="shared" si="12"/>
        <v>0</v>
      </c>
      <c r="M231" s="32">
        <f t="shared" si="11"/>
        <v>0</v>
      </c>
    </row>
    <row r="232" spans="1:13" s="32" customFormat="1" ht="37.5">
      <c r="A232" s="43" t="s">
        <v>273</v>
      </c>
      <c r="B232" s="51" t="s">
        <v>274</v>
      </c>
      <c r="C232" s="36" t="s">
        <v>98</v>
      </c>
      <c r="D232" s="55">
        <f>(5*2*2+22*2+5*3*2+10*3+25*3)</f>
        <v>199</v>
      </c>
      <c r="E232" s="37">
        <v>5.3</v>
      </c>
      <c r="F232" s="37">
        <f>ROUND(E232*1.2288,2)</f>
        <v>6.51</v>
      </c>
      <c r="G232" s="38">
        <f>ROUND(F232*D232,2)</f>
        <v>1295.49</v>
      </c>
      <c r="H232" s="55" t="s">
        <v>275</v>
      </c>
      <c r="I232" s="40" t="s">
        <v>276</v>
      </c>
      <c r="J232" s="41"/>
      <c r="L232" s="42">
        <f t="shared" si="12"/>
        <v>1295.49</v>
      </c>
      <c r="M232" s="32">
        <f t="shared" si="11"/>
        <v>1054.7</v>
      </c>
    </row>
    <row r="233" spans="1:13" s="32" customFormat="1" ht="18.75">
      <c r="A233" s="43"/>
      <c r="B233" s="44"/>
      <c r="C233" s="36"/>
      <c r="D233" s="55"/>
      <c r="E233" s="37"/>
      <c r="F233" s="37"/>
      <c r="G233" s="38"/>
      <c r="H233" s="30"/>
      <c r="I233" s="40"/>
      <c r="J233" s="41"/>
      <c r="L233" s="42">
        <f t="shared" si="12"/>
        <v>0</v>
      </c>
      <c r="M233" s="32">
        <f t="shared" si="11"/>
        <v>0</v>
      </c>
    </row>
    <row r="234" spans="1:13" s="32" customFormat="1" ht="47.25">
      <c r="A234" s="43" t="s">
        <v>277</v>
      </c>
      <c r="B234" s="51" t="s">
        <v>278</v>
      </c>
      <c r="C234" s="36" t="s">
        <v>98</v>
      </c>
      <c r="D234" s="55">
        <f>(28*2*2+7*2+25*2+56*2)</f>
        <v>288</v>
      </c>
      <c r="E234" s="37">
        <v>6.3</v>
      </c>
      <c r="F234" s="37">
        <f>ROUND(E234*1.2288,2)</f>
        <v>7.74</v>
      </c>
      <c r="G234" s="38">
        <f>ROUND(F234*D234,2)</f>
        <v>2229.12</v>
      </c>
      <c r="H234" s="55" t="s">
        <v>279</v>
      </c>
      <c r="I234" s="40" t="s">
        <v>280</v>
      </c>
      <c r="J234" s="41"/>
      <c r="L234" s="42">
        <f t="shared" si="12"/>
        <v>2229.12</v>
      </c>
      <c r="M234" s="32">
        <f t="shared" si="11"/>
        <v>1814.3999999999999</v>
      </c>
    </row>
    <row r="235" spans="1:13" s="32" customFormat="1" ht="18.75">
      <c r="A235" s="43"/>
      <c r="B235" s="44"/>
      <c r="C235" s="36"/>
      <c r="D235" s="55"/>
      <c r="E235" s="37"/>
      <c r="F235" s="37"/>
      <c r="G235" s="38"/>
      <c r="H235" s="30"/>
      <c r="I235" s="40"/>
      <c r="J235" s="41"/>
      <c r="L235" s="42">
        <f t="shared" si="12"/>
        <v>0</v>
      </c>
      <c r="M235" s="32">
        <f t="shared" si="11"/>
        <v>0</v>
      </c>
    </row>
    <row r="236" spans="1:13" s="32" customFormat="1" ht="18.75">
      <c r="A236" s="43"/>
      <c r="B236" s="44"/>
      <c r="C236" s="36"/>
      <c r="D236" s="78"/>
      <c r="E236" s="37"/>
      <c r="F236" s="37"/>
      <c r="G236" s="38"/>
      <c r="H236" s="30"/>
      <c r="I236" s="40"/>
      <c r="J236" s="41"/>
      <c r="L236" s="42">
        <f t="shared" si="12"/>
        <v>0</v>
      </c>
      <c r="M236" s="32">
        <f t="shared" si="11"/>
        <v>0</v>
      </c>
    </row>
    <row r="237" spans="1:13" s="32" customFormat="1" ht="18.75">
      <c r="A237" s="43" t="s">
        <v>281</v>
      </c>
      <c r="B237" s="63" t="s">
        <v>282</v>
      </c>
      <c r="C237" s="36"/>
      <c r="D237" s="55"/>
      <c r="E237" s="37"/>
      <c r="F237" s="37"/>
      <c r="G237" s="38"/>
      <c r="H237" s="30"/>
      <c r="I237" s="40"/>
      <c r="J237" s="41"/>
      <c r="L237" s="42">
        <f t="shared" si="12"/>
        <v>0</v>
      </c>
      <c r="M237" s="32">
        <f t="shared" si="11"/>
        <v>0</v>
      </c>
    </row>
    <row r="238" spans="1:13" s="32" customFormat="1" ht="78.75">
      <c r="A238" s="43"/>
      <c r="B238" s="44" t="s">
        <v>283</v>
      </c>
      <c r="C238" s="36"/>
      <c r="D238" s="55"/>
      <c r="E238" s="37"/>
      <c r="F238" s="37"/>
      <c r="G238" s="38"/>
      <c r="H238" s="30"/>
      <c r="I238" s="40"/>
      <c r="J238" s="41"/>
      <c r="L238" s="42">
        <f t="shared" si="12"/>
        <v>0</v>
      </c>
      <c r="M238" s="32">
        <f t="shared" si="11"/>
        <v>0</v>
      </c>
    </row>
    <row r="239" spans="1:13" s="32" customFormat="1" ht="18.75">
      <c r="A239" s="43"/>
      <c r="B239" s="44"/>
      <c r="C239" s="36"/>
      <c r="D239" s="55"/>
      <c r="E239" s="37"/>
      <c r="F239" s="37"/>
      <c r="G239" s="38"/>
      <c r="H239" s="30"/>
      <c r="I239" s="40"/>
      <c r="J239" s="41"/>
      <c r="L239" s="42">
        <f t="shared" si="12"/>
        <v>0</v>
      </c>
      <c r="M239" s="32">
        <f t="shared" si="11"/>
        <v>0</v>
      </c>
    </row>
    <row r="240" spans="1:13" s="32" customFormat="1" ht="18.75">
      <c r="A240" s="43"/>
      <c r="B240" s="44"/>
      <c r="C240" s="36"/>
      <c r="D240" s="55"/>
      <c r="E240" s="37"/>
      <c r="F240" s="37"/>
      <c r="G240" s="38"/>
      <c r="H240" s="30"/>
      <c r="I240" s="40"/>
      <c r="J240" s="41"/>
      <c r="L240" s="42">
        <f t="shared" si="12"/>
        <v>0</v>
      </c>
      <c r="M240" s="32">
        <f t="shared" si="11"/>
        <v>0</v>
      </c>
    </row>
    <row r="241" spans="1:13" s="32" customFormat="1" ht="31.5">
      <c r="A241" s="43" t="s">
        <v>284</v>
      </c>
      <c r="B241" s="51" t="s">
        <v>285</v>
      </c>
      <c r="C241" s="36" t="s">
        <v>98</v>
      </c>
      <c r="D241" s="55">
        <f>45*3</f>
        <v>135</v>
      </c>
      <c r="E241" s="37">
        <v>9.53</v>
      </c>
      <c r="F241" s="37">
        <f>ROUND(E241*1.2288,2)</f>
        <v>11.71</v>
      </c>
      <c r="G241" s="38">
        <f>ROUND(F241*D241,2)</f>
        <v>1580.85</v>
      </c>
      <c r="H241" s="30" t="s">
        <v>286</v>
      </c>
      <c r="I241" s="40" t="s">
        <v>287</v>
      </c>
      <c r="J241" s="41"/>
      <c r="L241" s="42">
        <f t="shared" si="12"/>
        <v>1580.8500000000001</v>
      </c>
      <c r="M241" s="32">
        <f t="shared" si="11"/>
        <v>1286.55</v>
      </c>
    </row>
    <row r="242" spans="1:13" s="32" customFormat="1" ht="18.75">
      <c r="A242" s="43"/>
      <c r="B242" s="44"/>
      <c r="C242" s="36"/>
      <c r="D242" s="55"/>
      <c r="E242" s="37"/>
      <c r="F242" s="37"/>
      <c r="G242" s="38"/>
      <c r="H242" s="30"/>
      <c r="I242" s="40"/>
      <c r="J242" s="41"/>
      <c r="L242" s="42">
        <f t="shared" si="12"/>
        <v>0</v>
      </c>
      <c r="M242" s="32">
        <f t="shared" si="11"/>
        <v>0</v>
      </c>
    </row>
    <row r="243" spans="1:13" s="32" customFormat="1" ht="18.75">
      <c r="A243" s="43"/>
      <c r="B243" s="44"/>
      <c r="C243" s="36"/>
      <c r="D243" s="55"/>
      <c r="E243" s="37"/>
      <c r="F243" s="37"/>
      <c r="G243" s="38"/>
      <c r="H243" s="30"/>
      <c r="I243" s="40"/>
      <c r="J243" s="41"/>
      <c r="L243" s="42">
        <f t="shared" si="12"/>
        <v>0</v>
      </c>
      <c r="M243" s="32">
        <f t="shared" si="11"/>
        <v>0</v>
      </c>
    </row>
    <row r="244" spans="1:13" s="32" customFormat="1" ht="18.75">
      <c r="A244" s="43" t="s">
        <v>288</v>
      </c>
      <c r="B244" s="51" t="s">
        <v>289</v>
      </c>
      <c r="C244" s="36" t="s">
        <v>98</v>
      </c>
      <c r="D244" s="55">
        <v>10</v>
      </c>
      <c r="E244" s="37">
        <v>12.72</v>
      </c>
      <c r="F244" s="37">
        <f>ROUND(E244*1.2288,2)</f>
        <v>15.63</v>
      </c>
      <c r="G244" s="38">
        <f>ROUND(F244*D244,2)</f>
        <v>156.3</v>
      </c>
      <c r="H244" s="30">
        <v>10</v>
      </c>
      <c r="I244" s="40" t="s">
        <v>290</v>
      </c>
      <c r="J244" s="41"/>
      <c r="L244" s="42">
        <f t="shared" si="12"/>
        <v>156.3</v>
      </c>
      <c r="M244" s="32">
        <f t="shared" si="11"/>
        <v>127.2</v>
      </c>
    </row>
    <row r="245" spans="1:13" s="32" customFormat="1" ht="78.75">
      <c r="A245" s="43"/>
      <c r="B245" s="44" t="s">
        <v>291</v>
      </c>
      <c r="C245" s="36"/>
      <c r="D245" s="55"/>
      <c r="E245" s="37"/>
      <c r="F245" s="37"/>
      <c r="G245" s="38"/>
      <c r="H245" s="30"/>
      <c r="I245" s="40"/>
      <c r="J245" s="41"/>
      <c r="L245" s="42">
        <f t="shared" si="12"/>
        <v>0</v>
      </c>
      <c r="M245" s="32">
        <f t="shared" si="11"/>
        <v>0</v>
      </c>
    </row>
    <row r="246" spans="1:13" s="32" customFormat="1" ht="18.75">
      <c r="A246" s="43"/>
      <c r="B246" s="44"/>
      <c r="C246" s="36"/>
      <c r="D246" s="55"/>
      <c r="E246" s="37"/>
      <c r="F246" s="37"/>
      <c r="G246" s="38"/>
      <c r="H246" s="30"/>
      <c r="I246" s="40"/>
      <c r="J246" s="41"/>
      <c r="L246" s="42">
        <f t="shared" si="12"/>
        <v>0</v>
      </c>
      <c r="M246" s="32">
        <f t="shared" si="11"/>
        <v>0</v>
      </c>
    </row>
    <row r="247" spans="1:13" s="32" customFormat="1" ht="18.75">
      <c r="A247" s="43"/>
      <c r="B247" s="51"/>
      <c r="C247" s="36"/>
      <c r="D247" s="55"/>
      <c r="E247" s="37"/>
      <c r="F247" s="37"/>
      <c r="G247" s="38"/>
      <c r="H247" s="30"/>
      <c r="I247" s="40"/>
      <c r="J247" s="41"/>
      <c r="L247" s="42">
        <f t="shared" si="12"/>
        <v>0</v>
      </c>
      <c r="M247" s="32">
        <f t="shared" si="11"/>
        <v>0</v>
      </c>
    </row>
    <row r="248" spans="1:13" s="32" customFormat="1" ht="18.75">
      <c r="A248" s="43" t="s">
        <v>292</v>
      </c>
      <c r="B248" s="63" t="s">
        <v>293</v>
      </c>
      <c r="C248" s="36"/>
      <c r="D248" s="55"/>
      <c r="E248" s="37"/>
      <c r="F248" s="37"/>
      <c r="G248" s="38"/>
      <c r="H248" s="30"/>
      <c r="I248" s="40"/>
      <c r="J248" s="41"/>
      <c r="L248" s="42">
        <f t="shared" si="12"/>
        <v>0</v>
      </c>
      <c r="M248" s="32">
        <f t="shared" si="11"/>
        <v>0</v>
      </c>
    </row>
    <row r="249" spans="1:13" s="32" customFormat="1" ht="141.75">
      <c r="A249" s="43"/>
      <c r="B249" s="44" t="s">
        <v>294</v>
      </c>
      <c r="C249" s="36"/>
      <c r="D249" s="55"/>
      <c r="E249" s="37"/>
      <c r="F249" s="37"/>
      <c r="G249" s="38"/>
      <c r="H249" s="30"/>
      <c r="I249" s="40"/>
      <c r="J249" s="41"/>
      <c r="L249" s="42">
        <f t="shared" si="12"/>
        <v>0</v>
      </c>
      <c r="M249" s="32">
        <f t="shared" si="11"/>
        <v>0</v>
      </c>
    </row>
    <row r="250" spans="1:13" s="32" customFormat="1" ht="18.75">
      <c r="A250" s="43"/>
      <c r="B250" s="63"/>
      <c r="C250" s="36"/>
      <c r="D250" s="55"/>
      <c r="E250" s="37"/>
      <c r="F250" s="37"/>
      <c r="G250" s="38"/>
      <c r="H250" s="30"/>
      <c r="I250" s="40"/>
      <c r="J250" s="41"/>
      <c r="L250" s="42">
        <f t="shared" si="12"/>
        <v>0</v>
      </c>
      <c r="M250" s="32">
        <f t="shared" si="11"/>
        <v>0</v>
      </c>
    </row>
    <row r="251" spans="1:13" s="32" customFormat="1" ht="47.25">
      <c r="A251" s="43" t="s">
        <v>295</v>
      </c>
      <c r="B251" s="51" t="s">
        <v>296</v>
      </c>
      <c r="C251" s="36" t="s">
        <v>98</v>
      </c>
      <c r="D251" s="55">
        <f>28*2+7+25+56</f>
        <v>144</v>
      </c>
      <c r="E251" s="37">
        <v>19.01</v>
      </c>
      <c r="F251" s="37">
        <f>ROUND(E251*1.2288,2)</f>
        <v>23.36</v>
      </c>
      <c r="G251" s="38">
        <f>ROUND(F251*D251,2)</f>
        <v>3363.84</v>
      </c>
      <c r="H251" s="55" t="s">
        <v>297</v>
      </c>
      <c r="I251" s="40" t="s">
        <v>298</v>
      </c>
      <c r="J251" s="41"/>
      <c r="L251" s="42">
        <f t="shared" si="12"/>
        <v>3363.84</v>
      </c>
      <c r="M251" s="32">
        <f t="shared" si="11"/>
        <v>2737.44</v>
      </c>
    </row>
    <row r="252" spans="1:13" s="32" customFormat="1" ht="18.75">
      <c r="A252" s="43"/>
      <c r="B252" s="44"/>
      <c r="C252" s="36"/>
      <c r="D252" s="55"/>
      <c r="E252" s="37"/>
      <c r="F252" s="37"/>
      <c r="G252" s="38"/>
      <c r="H252" s="30"/>
      <c r="I252" s="40"/>
      <c r="J252" s="41"/>
      <c r="L252" s="42">
        <f t="shared" si="12"/>
        <v>0</v>
      </c>
      <c r="M252" s="32">
        <f t="shared" si="11"/>
        <v>0</v>
      </c>
    </row>
    <row r="253" spans="1:13" s="32" customFormat="1" ht="31.5">
      <c r="A253" s="43" t="s">
        <v>299</v>
      </c>
      <c r="B253" s="51" t="s">
        <v>300</v>
      </c>
      <c r="C253" s="36" t="s">
        <v>98</v>
      </c>
      <c r="D253" s="55">
        <v>45</v>
      </c>
      <c r="E253" s="37">
        <v>30.13</v>
      </c>
      <c r="F253" s="37">
        <f>ROUND(E253*1.2288,2)</f>
        <v>37.02</v>
      </c>
      <c r="G253" s="38">
        <f>ROUND(F253*D253,2)</f>
        <v>1665.9</v>
      </c>
      <c r="H253" s="55">
        <v>45</v>
      </c>
      <c r="I253" s="40" t="s">
        <v>287</v>
      </c>
      <c r="J253" s="41"/>
      <c r="L253" s="42">
        <f t="shared" si="12"/>
        <v>1665.9</v>
      </c>
      <c r="M253" s="32">
        <f t="shared" si="11"/>
        <v>1355.85</v>
      </c>
    </row>
    <row r="254" spans="1:13" s="32" customFormat="1" ht="18.75">
      <c r="A254" s="43"/>
      <c r="B254" s="44"/>
      <c r="C254" s="36"/>
      <c r="D254" s="55"/>
      <c r="E254" s="37"/>
      <c r="F254" s="37"/>
      <c r="G254" s="38"/>
      <c r="H254" s="30"/>
      <c r="I254" s="40"/>
      <c r="J254" s="41"/>
      <c r="L254" s="42">
        <f t="shared" si="12"/>
        <v>0</v>
      </c>
      <c r="M254" s="32">
        <f t="shared" si="11"/>
        <v>0</v>
      </c>
    </row>
    <row r="255" spans="1:13" s="32" customFormat="1" ht="18.75">
      <c r="A255" s="43"/>
      <c r="B255" s="44"/>
      <c r="C255" s="36"/>
      <c r="D255" s="55"/>
      <c r="E255" s="37"/>
      <c r="F255" s="37"/>
      <c r="G255" s="38"/>
      <c r="H255" s="30"/>
      <c r="I255" s="40"/>
      <c r="J255" s="41"/>
      <c r="L255" s="42">
        <f t="shared" si="12"/>
        <v>0</v>
      </c>
      <c r="M255" s="32">
        <f t="shared" si="11"/>
        <v>0</v>
      </c>
    </row>
    <row r="256" spans="1:13" s="32" customFormat="1" ht="18.75">
      <c r="A256" s="43" t="s">
        <v>301</v>
      </c>
      <c r="B256" s="63" t="s">
        <v>302</v>
      </c>
      <c r="C256" s="36"/>
      <c r="D256" s="55"/>
      <c r="E256" s="37"/>
      <c r="F256" s="37"/>
      <c r="G256" s="38"/>
      <c r="H256" s="30"/>
      <c r="I256" s="40"/>
      <c r="J256" s="41"/>
      <c r="L256" s="42">
        <f t="shared" si="12"/>
        <v>0</v>
      </c>
      <c r="M256" s="32">
        <f t="shared" si="11"/>
        <v>0</v>
      </c>
    </row>
    <row r="257" spans="1:13" s="32" customFormat="1" ht="110.25">
      <c r="A257" s="43"/>
      <c r="B257" s="44" t="s">
        <v>303</v>
      </c>
      <c r="C257" s="36"/>
      <c r="D257" s="55"/>
      <c r="E257" s="37"/>
      <c r="F257" s="37"/>
      <c r="G257" s="38"/>
      <c r="H257" s="30"/>
      <c r="I257" s="40"/>
      <c r="J257" s="41"/>
      <c r="L257" s="42">
        <f t="shared" si="12"/>
        <v>0</v>
      </c>
      <c r="M257" s="32">
        <f t="shared" si="11"/>
        <v>0</v>
      </c>
    </row>
    <row r="258" spans="1:13" s="32" customFormat="1" ht="18.75">
      <c r="A258" s="43"/>
      <c r="B258" s="63"/>
      <c r="C258" s="36"/>
      <c r="D258" s="55"/>
      <c r="E258" s="37"/>
      <c r="F258" s="37"/>
      <c r="G258" s="38"/>
      <c r="H258" s="30"/>
      <c r="I258" s="40"/>
      <c r="J258" s="41"/>
      <c r="L258" s="42">
        <f t="shared" si="12"/>
        <v>0</v>
      </c>
      <c r="M258" s="32">
        <f t="shared" si="11"/>
        <v>0</v>
      </c>
    </row>
    <row r="259" spans="1:13" s="32" customFormat="1" ht="18.75">
      <c r="A259" s="43"/>
      <c r="B259" s="74"/>
      <c r="C259" s="36"/>
      <c r="D259" s="55"/>
      <c r="E259" s="37"/>
      <c r="F259" s="37"/>
      <c r="G259" s="38"/>
      <c r="H259" s="30"/>
      <c r="I259" s="40"/>
      <c r="J259" s="41"/>
      <c r="L259" s="42">
        <f t="shared" si="12"/>
        <v>0</v>
      </c>
      <c r="M259" s="32">
        <f t="shared" si="11"/>
        <v>0</v>
      </c>
    </row>
    <row r="260" spans="1:13" s="32" customFormat="1" ht="31.5">
      <c r="A260" s="43" t="s">
        <v>304</v>
      </c>
      <c r="B260" s="47" t="s">
        <v>305</v>
      </c>
      <c r="C260" s="36" t="s">
        <v>98</v>
      </c>
      <c r="D260" s="55">
        <f>(5*2+22+5*2+10+25)</f>
        <v>77</v>
      </c>
      <c r="E260" s="37">
        <v>9.07</v>
      </c>
      <c r="F260" s="37">
        <f>ROUND(E260*1.2288,2)</f>
        <v>11.15</v>
      </c>
      <c r="G260" s="38">
        <f>ROUND(F260*D260,2)</f>
        <v>858.55</v>
      </c>
      <c r="H260" s="55">
        <v>77</v>
      </c>
      <c r="I260" s="40" t="s">
        <v>306</v>
      </c>
      <c r="J260" s="41"/>
      <c r="L260" s="42">
        <f t="shared" si="12"/>
        <v>858.5500000000001</v>
      </c>
      <c r="M260" s="32">
        <f t="shared" si="11"/>
        <v>698.39</v>
      </c>
    </row>
    <row r="261" spans="1:13" s="32" customFormat="1" ht="18.75">
      <c r="A261" s="43"/>
      <c r="B261" s="74"/>
      <c r="C261" s="36"/>
      <c r="D261" s="55"/>
      <c r="E261" s="37"/>
      <c r="F261" s="37"/>
      <c r="G261" s="38"/>
      <c r="H261" s="30"/>
      <c r="I261" s="40"/>
      <c r="J261" s="41"/>
      <c r="L261" s="42">
        <f t="shared" si="12"/>
        <v>0</v>
      </c>
      <c r="M261" s="32">
        <f t="shared" si="11"/>
        <v>0</v>
      </c>
    </row>
    <row r="262" spans="1:13" s="32" customFormat="1" ht="18.75">
      <c r="A262" s="43"/>
      <c r="B262" s="44"/>
      <c r="C262" s="36"/>
      <c r="D262" s="55"/>
      <c r="E262" s="37"/>
      <c r="F262" s="37"/>
      <c r="G262" s="38"/>
      <c r="H262" s="30"/>
      <c r="I262" s="40"/>
      <c r="J262" s="41"/>
      <c r="L262" s="42">
        <f t="shared" si="12"/>
        <v>0</v>
      </c>
      <c r="M262" s="32">
        <f t="shared" si="11"/>
        <v>0</v>
      </c>
    </row>
    <row r="263" spans="1:13" s="32" customFormat="1" ht="18.75">
      <c r="A263" s="43"/>
      <c r="B263" s="44"/>
      <c r="C263" s="36"/>
      <c r="D263" s="55"/>
      <c r="E263" s="37"/>
      <c r="F263" s="37"/>
      <c r="G263" s="38"/>
      <c r="H263" s="30"/>
      <c r="I263" s="40"/>
      <c r="J263" s="41"/>
      <c r="L263" s="42">
        <f t="shared" si="12"/>
        <v>0</v>
      </c>
      <c r="M263" s="32">
        <f t="shared" si="11"/>
        <v>0</v>
      </c>
    </row>
    <row r="264" spans="1:13" s="32" customFormat="1" ht="18.75">
      <c r="A264" s="43"/>
      <c r="B264" s="51"/>
      <c r="C264" s="36"/>
      <c r="D264" s="55"/>
      <c r="E264" s="37"/>
      <c r="F264" s="37"/>
      <c r="G264" s="38"/>
      <c r="H264" s="30"/>
      <c r="I264" s="40"/>
      <c r="J264" s="41"/>
      <c r="L264" s="42">
        <f t="shared" si="12"/>
        <v>0</v>
      </c>
      <c r="M264" s="32">
        <f aca="true" t="shared" si="13" ref="M264:M327">D264*E264</f>
        <v>0</v>
      </c>
    </row>
    <row r="265" spans="1:13" s="32" customFormat="1" ht="18.75">
      <c r="A265" s="43" t="s">
        <v>307</v>
      </c>
      <c r="B265" s="51" t="s">
        <v>308</v>
      </c>
      <c r="C265" s="36" t="s">
        <v>21</v>
      </c>
      <c r="D265" s="55">
        <v>11</v>
      </c>
      <c r="E265" s="37">
        <v>7.89</v>
      </c>
      <c r="F265" s="37">
        <f>ROUND(E265*1.2288,2)</f>
        <v>9.7</v>
      </c>
      <c r="G265" s="38">
        <f>ROUND(F265*D265,2)</f>
        <v>106.7</v>
      </c>
      <c r="H265" s="55">
        <v>11</v>
      </c>
      <c r="I265" s="40"/>
      <c r="J265" s="41"/>
      <c r="L265" s="42">
        <f t="shared" si="12"/>
        <v>106.69999999999999</v>
      </c>
      <c r="M265" s="32">
        <f t="shared" si="13"/>
        <v>86.78999999999999</v>
      </c>
    </row>
    <row r="266" spans="1:13" s="32" customFormat="1" ht="63">
      <c r="A266" s="43"/>
      <c r="B266" s="44" t="s">
        <v>309</v>
      </c>
      <c r="C266" s="36"/>
      <c r="D266" s="55"/>
      <c r="E266" s="37"/>
      <c r="F266" s="37"/>
      <c r="G266" s="38"/>
      <c r="H266" s="30"/>
      <c r="I266" s="40"/>
      <c r="J266" s="41"/>
      <c r="L266" s="42">
        <f aca="true" t="shared" si="14" ref="L266:L281">D266*F266</f>
        <v>0</v>
      </c>
      <c r="M266" s="32">
        <f t="shared" si="13"/>
        <v>0</v>
      </c>
    </row>
    <row r="267" spans="1:13" s="32" customFormat="1" ht="18.75">
      <c r="A267" s="43"/>
      <c r="B267" s="44"/>
      <c r="C267" s="36"/>
      <c r="D267" s="55"/>
      <c r="E267" s="37"/>
      <c r="F267" s="37"/>
      <c r="G267" s="38"/>
      <c r="H267" s="30"/>
      <c r="I267" s="40"/>
      <c r="J267" s="41"/>
      <c r="L267" s="42">
        <f t="shared" si="14"/>
        <v>0</v>
      </c>
      <c r="M267" s="32">
        <f t="shared" si="13"/>
        <v>0</v>
      </c>
    </row>
    <row r="268" spans="1:13" s="32" customFormat="1" ht="18.75">
      <c r="A268" s="43"/>
      <c r="B268" s="44"/>
      <c r="C268" s="36"/>
      <c r="D268" s="55"/>
      <c r="E268" s="37"/>
      <c r="F268" s="37"/>
      <c r="G268" s="38"/>
      <c r="H268" s="30"/>
      <c r="I268" s="40"/>
      <c r="J268" s="41"/>
      <c r="L268" s="42">
        <f t="shared" si="14"/>
        <v>0</v>
      </c>
      <c r="M268" s="32">
        <f t="shared" si="13"/>
        <v>0</v>
      </c>
    </row>
    <row r="269" spans="1:13" s="32" customFormat="1" ht="18.75">
      <c r="A269" s="43" t="s">
        <v>310</v>
      </c>
      <c r="B269" s="51" t="s">
        <v>311</v>
      </c>
      <c r="C269" s="36" t="s">
        <v>21</v>
      </c>
      <c r="D269" s="55">
        <v>3</v>
      </c>
      <c r="E269" s="37">
        <v>8.68</v>
      </c>
      <c r="F269" s="37">
        <f>ROUND(E269*1.2288,2)</f>
        <v>10.67</v>
      </c>
      <c r="G269" s="38">
        <f>ROUND(F269*D269,2)</f>
        <v>32.01</v>
      </c>
      <c r="H269" s="55">
        <v>3</v>
      </c>
      <c r="I269" s="40"/>
      <c r="J269" s="41"/>
      <c r="L269" s="42">
        <f t="shared" si="14"/>
        <v>32.01</v>
      </c>
      <c r="M269" s="32">
        <f t="shared" si="13"/>
        <v>26.04</v>
      </c>
    </row>
    <row r="270" spans="1:13" s="32" customFormat="1" ht="63">
      <c r="A270" s="43"/>
      <c r="B270" s="44" t="s">
        <v>312</v>
      </c>
      <c r="C270" s="36"/>
      <c r="D270" s="55"/>
      <c r="E270" s="37"/>
      <c r="F270" s="37"/>
      <c r="G270" s="38"/>
      <c r="H270" s="39"/>
      <c r="I270" s="40"/>
      <c r="J270" s="41"/>
      <c r="L270" s="42">
        <f t="shared" si="14"/>
        <v>0</v>
      </c>
      <c r="M270" s="32">
        <f t="shared" si="13"/>
        <v>0</v>
      </c>
    </row>
    <row r="271" spans="1:13" s="32" customFormat="1" ht="18.75">
      <c r="A271" s="43"/>
      <c r="B271" s="44"/>
      <c r="C271" s="36"/>
      <c r="D271" s="55"/>
      <c r="E271" s="37"/>
      <c r="F271" s="37"/>
      <c r="G271" s="38"/>
      <c r="H271" s="30"/>
      <c r="I271" s="40"/>
      <c r="J271" s="41"/>
      <c r="L271" s="42">
        <f t="shared" si="14"/>
        <v>0</v>
      </c>
      <c r="M271" s="32">
        <f t="shared" si="13"/>
        <v>0</v>
      </c>
    </row>
    <row r="272" spans="1:13" s="32" customFormat="1" ht="18.75">
      <c r="A272" s="43"/>
      <c r="B272" s="51"/>
      <c r="C272" s="36"/>
      <c r="D272" s="55"/>
      <c r="E272" s="37"/>
      <c r="F272" s="37"/>
      <c r="G272" s="38"/>
      <c r="H272" s="30"/>
      <c r="I272" s="40"/>
      <c r="J272" s="41"/>
      <c r="L272" s="42">
        <f t="shared" si="14"/>
        <v>0</v>
      </c>
      <c r="M272" s="32">
        <f t="shared" si="13"/>
        <v>0</v>
      </c>
    </row>
    <row r="273" spans="1:13" s="32" customFormat="1" ht="31.5">
      <c r="A273" s="43" t="s">
        <v>313</v>
      </c>
      <c r="B273" s="51" t="s">
        <v>314</v>
      </c>
      <c r="C273" s="36" t="s">
        <v>21</v>
      </c>
      <c r="D273" s="55">
        <v>12</v>
      </c>
      <c r="E273" s="37">
        <v>432.73</v>
      </c>
      <c r="F273" s="37">
        <f>ROUND(E273*1.2288,2)</f>
        <v>531.74</v>
      </c>
      <c r="G273" s="38">
        <f>ROUND(F273*D273,2)</f>
        <v>6380.88</v>
      </c>
      <c r="H273" s="55">
        <v>12</v>
      </c>
      <c r="I273" s="40"/>
      <c r="J273" s="41"/>
      <c r="L273" s="42">
        <f t="shared" si="14"/>
        <v>6380.88</v>
      </c>
      <c r="M273" s="32">
        <f t="shared" si="13"/>
        <v>5192.76</v>
      </c>
    </row>
    <row r="274" spans="1:13" s="32" customFormat="1" ht="141.75">
      <c r="A274" s="43"/>
      <c r="B274" s="44" t="s">
        <v>315</v>
      </c>
      <c r="C274" s="36"/>
      <c r="D274" s="55"/>
      <c r="E274" s="37"/>
      <c r="F274" s="37"/>
      <c r="G274" s="38"/>
      <c r="H274" s="30"/>
      <c r="I274" s="40"/>
      <c r="J274" s="41"/>
      <c r="L274" s="42">
        <f t="shared" si="14"/>
        <v>0</v>
      </c>
      <c r="M274" s="32">
        <f t="shared" si="13"/>
        <v>0</v>
      </c>
    </row>
    <row r="275" spans="1:13" s="32" customFormat="1" ht="18.75">
      <c r="A275" s="43"/>
      <c r="B275" s="44"/>
      <c r="C275" s="36"/>
      <c r="D275" s="55"/>
      <c r="E275" s="37"/>
      <c r="F275" s="37"/>
      <c r="G275" s="38"/>
      <c r="H275" s="30"/>
      <c r="I275" s="40"/>
      <c r="J275" s="41"/>
      <c r="L275" s="42">
        <f t="shared" si="14"/>
        <v>0</v>
      </c>
      <c r="M275" s="32">
        <f t="shared" si="13"/>
        <v>0</v>
      </c>
    </row>
    <row r="276" spans="1:13" s="32" customFormat="1" ht="18.75">
      <c r="A276" s="43"/>
      <c r="B276" s="51"/>
      <c r="C276" s="36"/>
      <c r="D276" s="55"/>
      <c r="E276" s="37"/>
      <c r="F276" s="37"/>
      <c r="G276" s="38"/>
      <c r="H276" s="30"/>
      <c r="I276" s="40"/>
      <c r="J276" s="41"/>
      <c r="L276" s="42">
        <f t="shared" si="14"/>
        <v>0</v>
      </c>
      <c r="M276" s="32">
        <f t="shared" si="13"/>
        <v>0</v>
      </c>
    </row>
    <row r="277" spans="1:13" s="32" customFormat="1" ht="18.75">
      <c r="A277" s="43" t="s">
        <v>316</v>
      </c>
      <c r="B277" s="63" t="s">
        <v>317</v>
      </c>
      <c r="C277" s="36"/>
      <c r="D277" s="55"/>
      <c r="E277" s="37"/>
      <c r="F277" s="37"/>
      <c r="G277" s="38"/>
      <c r="H277" s="30"/>
      <c r="I277" s="40"/>
      <c r="J277" s="41"/>
      <c r="L277" s="42">
        <f t="shared" si="14"/>
        <v>0</v>
      </c>
      <c r="M277" s="32">
        <f t="shared" si="13"/>
        <v>0</v>
      </c>
    </row>
    <row r="278" spans="1:13" s="32" customFormat="1" ht="94.5">
      <c r="A278" s="43"/>
      <c r="B278" s="44" t="s">
        <v>318</v>
      </c>
      <c r="C278" s="36"/>
      <c r="D278" s="55"/>
      <c r="E278" s="37"/>
      <c r="F278" s="37"/>
      <c r="G278" s="38"/>
      <c r="H278" s="30"/>
      <c r="I278" s="40"/>
      <c r="J278" s="41"/>
      <c r="L278" s="42">
        <f t="shared" si="14"/>
        <v>0</v>
      </c>
      <c r="M278" s="32">
        <f t="shared" si="13"/>
        <v>0</v>
      </c>
    </row>
    <row r="279" spans="1:13" s="32" customFormat="1" ht="18.75">
      <c r="A279" s="43"/>
      <c r="B279" s="44"/>
      <c r="C279" s="36"/>
      <c r="D279" s="55"/>
      <c r="E279" s="37"/>
      <c r="F279" s="37"/>
      <c r="G279" s="38"/>
      <c r="H279" s="30"/>
      <c r="I279" s="40"/>
      <c r="J279" s="41"/>
      <c r="L279" s="42">
        <f t="shared" si="14"/>
        <v>0</v>
      </c>
      <c r="M279" s="32">
        <f t="shared" si="13"/>
        <v>0</v>
      </c>
    </row>
    <row r="280" spans="1:13" s="32" customFormat="1" ht="18.75">
      <c r="A280" s="43"/>
      <c r="B280" s="44"/>
      <c r="C280" s="36"/>
      <c r="D280" s="55"/>
      <c r="E280" s="37"/>
      <c r="F280" s="37"/>
      <c r="G280" s="38"/>
      <c r="H280" s="39"/>
      <c r="I280" s="40"/>
      <c r="J280" s="41"/>
      <c r="L280" s="42">
        <f t="shared" si="14"/>
        <v>0</v>
      </c>
      <c r="M280" s="32">
        <f t="shared" si="13"/>
        <v>0</v>
      </c>
    </row>
    <row r="281" spans="1:13" s="32" customFormat="1" ht="31.5">
      <c r="A281" s="43" t="s">
        <v>319</v>
      </c>
      <c r="B281" s="51" t="s">
        <v>320</v>
      </c>
      <c r="C281" s="36" t="s">
        <v>21</v>
      </c>
      <c r="D281" s="55">
        <v>1</v>
      </c>
      <c r="E281" s="37">
        <v>241.26</v>
      </c>
      <c r="F281" s="37">
        <f>ROUND(E281*1.2288,2)</f>
        <v>296.46</v>
      </c>
      <c r="G281" s="38">
        <f>ROUND(F281*D281,2)</f>
        <v>296.46</v>
      </c>
      <c r="H281" s="39">
        <v>1</v>
      </c>
      <c r="I281" s="40"/>
      <c r="J281" s="41"/>
      <c r="L281" s="42">
        <f t="shared" si="14"/>
        <v>296.46</v>
      </c>
      <c r="M281" s="32">
        <f t="shared" si="13"/>
        <v>241.26</v>
      </c>
    </row>
    <row r="282" spans="1:13" s="32" customFormat="1" ht="18.75">
      <c r="A282" s="43"/>
      <c r="B282" s="44"/>
      <c r="C282" s="36"/>
      <c r="D282" s="55"/>
      <c r="E282" s="37"/>
      <c r="F282" s="37"/>
      <c r="G282" s="38"/>
      <c r="H282" s="30"/>
      <c r="I282" s="40"/>
      <c r="J282" s="41"/>
      <c r="L282" s="168">
        <f>SUM(L201:L281)</f>
        <v>19191.69</v>
      </c>
      <c r="M282" s="32">
        <f t="shared" si="13"/>
        <v>0</v>
      </c>
    </row>
    <row r="283" spans="1:13" s="32" customFormat="1" ht="18.75" customHeight="1">
      <c r="A283" s="73"/>
      <c r="B283" s="67"/>
      <c r="C283" s="177" t="s">
        <v>35</v>
      </c>
      <c r="D283" s="177"/>
      <c r="E283" s="177"/>
      <c r="F283" s="147"/>
      <c r="G283" s="53">
        <f>SUM(G196:G282)</f>
        <v>19191.69</v>
      </c>
      <c r="H283" s="30"/>
      <c r="I283" s="40"/>
      <c r="J283" s="41"/>
      <c r="L283" s="42"/>
      <c r="M283" s="32">
        <f t="shared" si="13"/>
        <v>0</v>
      </c>
    </row>
    <row r="284" spans="1:13" s="32" customFormat="1" ht="18.75">
      <c r="A284" s="24" t="s">
        <v>321</v>
      </c>
      <c r="B284" s="25" t="s">
        <v>322</v>
      </c>
      <c r="C284" s="68"/>
      <c r="D284" s="69"/>
      <c r="E284" s="28"/>
      <c r="F284" s="71"/>
      <c r="G284" s="38"/>
      <c r="H284" s="30"/>
      <c r="I284" s="40"/>
      <c r="J284" s="41"/>
      <c r="L284" s="42">
        <f aca="true" t="shared" si="15" ref="L284:L291">D284*F284</f>
        <v>0</v>
      </c>
      <c r="M284" s="32">
        <f t="shared" si="13"/>
        <v>0</v>
      </c>
    </row>
    <row r="285" spans="1:13" s="32" customFormat="1" ht="18.75">
      <c r="A285" s="34" t="s">
        <v>323</v>
      </c>
      <c r="B285" s="70" t="s">
        <v>152</v>
      </c>
      <c r="C285" s="36"/>
      <c r="D285" s="55"/>
      <c r="E285" s="37"/>
      <c r="F285" s="37"/>
      <c r="G285" s="38"/>
      <c r="H285" s="30"/>
      <c r="I285" s="40"/>
      <c r="J285" s="41"/>
      <c r="L285" s="42">
        <f t="shared" si="15"/>
        <v>0</v>
      </c>
      <c r="M285" s="32">
        <f t="shared" si="13"/>
        <v>0</v>
      </c>
    </row>
    <row r="286" spans="1:14" s="32" customFormat="1" ht="30" customHeight="1">
      <c r="A286" s="43" t="s">
        <v>324</v>
      </c>
      <c r="B286" s="51" t="s">
        <v>325</v>
      </c>
      <c r="C286" s="36" t="s">
        <v>26</v>
      </c>
      <c r="D286" s="55">
        <f>0.8*2.1+1*2.1*2</f>
        <v>5.880000000000001</v>
      </c>
      <c r="E286" s="37">
        <v>363.17</v>
      </c>
      <c r="F286" s="37">
        <f>ROUND(E286*1.2288,2)</f>
        <v>446.26</v>
      </c>
      <c r="G286" s="38">
        <f>ROUND(F286*D286,2)</f>
        <v>2624.01</v>
      </c>
      <c r="H286" s="30" t="s">
        <v>326</v>
      </c>
      <c r="I286" s="40" t="s">
        <v>327</v>
      </c>
      <c r="J286" s="41"/>
      <c r="K286" s="163"/>
      <c r="L286" s="42">
        <f t="shared" si="15"/>
        <v>2624.0088000000005</v>
      </c>
      <c r="M286" s="32">
        <f t="shared" si="13"/>
        <v>2135.4396</v>
      </c>
      <c r="N286" s="164"/>
    </row>
    <row r="287" spans="1:13" s="32" customFormat="1" ht="141.75">
      <c r="A287" s="43"/>
      <c r="B287" s="44" t="s">
        <v>328</v>
      </c>
      <c r="C287" s="36"/>
      <c r="D287" s="55"/>
      <c r="E287" s="37"/>
      <c r="F287" s="37"/>
      <c r="G287" s="38"/>
      <c r="H287" s="30"/>
      <c r="I287" s="40"/>
      <c r="J287" s="41"/>
      <c r="L287" s="42">
        <f t="shared" si="15"/>
        <v>0</v>
      </c>
      <c r="M287" s="32">
        <f t="shared" si="13"/>
        <v>0</v>
      </c>
    </row>
    <row r="288" spans="1:13" s="32" customFormat="1" ht="18.75">
      <c r="A288" s="43"/>
      <c r="B288" s="44"/>
      <c r="C288" s="36"/>
      <c r="D288" s="55"/>
      <c r="E288" s="37"/>
      <c r="F288" s="37"/>
      <c r="G288" s="38"/>
      <c r="H288" s="30"/>
      <c r="I288" s="40"/>
      <c r="J288" s="41"/>
      <c r="L288" s="42">
        <f t="shared" si="15"/>
        <v>0</v>
      </c>
      <c r="M288" s="32">
        <f t="shared" si="13"/>
        <v>0</v>
      </c>
    </row>
    <row r="289" spans="1:13" s="32" customFormat="1" ht="18.75">
      <c r="A289" s="43"/>
      <c r="B289" s="44"/>
      <c r="C289" s="36"/>
      <c r="D289" s="55"/>
      <c r="E289" s="37"/>
      <c r="F289" s="37"/>
      <c r="G289" s="38"/>
      <c r="H289" s="30"/>
      <c r="I289" s="40"/>
      <c r="J289" s="41"/>
      <c r="L289" s="42">
        <f t="shared" si="15"/>
        <v>0</v>
      </c>
      <c r="M289" s="32">
        <f t="shared" si="13"/>
        <v>0</v>
      </c>
    </row>
    <row r="290" spans="1:13" s="32" customFormat="1" ht="31.5">
      <c r="A290" s="43" t="s">
        <v>329</v>
      </c>
      <c r="B290" s="51" t="s">
        <v>330</v>
      </c>
      <c r="C290" s="36" t="s">
        <v>26</v>
      </c>
      <c r="D290" s="55">
        <f>0.8*1*4</f>
        <v>3.2</v>
      </c>
      <c r="E290" s="37">
        <v>530.43</v>
      </c>
      <c r="F290" s="37">
        <f>ROUND(E290*1.2288,2)</f>
        <v>651.79</v>
      </c>
      <c r="G290" s="38">
        <f>ROUND(F290*D290,2)</f>
        <v>2085.73</v>
      </c>
      <c r="H290" s="30" t="s">
        <v>331</v>
      </c>
      <c r="I290" s="40" t="s">
        <v>332</v>
      </c>
      <c r="J290" s="41"/>
      <c r="L290" s="42">
        <f t="shared" si="15"/>
        <v>2085.728</v>
      </c>
      <c r="M290" s="32">
        <f t="shared" si="13"/>
        <v>1697.376</v>
      </c>
    </row>
    <row r="291" spans="1:13" s="32" customFormat="1" ht="156" customHeight="1">
      <c r="A291" s="43"/>
      <c r="B291" s="44" t="s">
        <v>333</v>
      </c>
      <c r="C291" s="36"/>
      <c r="D291" s="55"/>
      <c r="E291" s="37"/>
      <c r="F291" s="37"/>
      <c r="G291" s="38"/>
      <c r="H291" s="30"/>
      <c r="I291" s="40"/>
      <c r="J291" s="41"/>
      <c r="L291" s="42">
        <f t="shared" si="15"/>
        <v>0</v>
      </c>
      <c r="M291" s="32">
        <f t="shared" si="13"/>
        <v>0</v>
      </c>
    </row>
    <row r="292" spans="1:13" s="32" customFormat="1" ht="18.75">
      <c r="A292" s="43"/>
      <c r="B292" s="44"/>
      <c r="C292" s="36"/>
      <c r="D292" s="55"/>
      <c r="E292" s="37"/>
      <c r="F292" s="37"/>
      <c r="G292" s="38"/>
      <c r="H292" s="30"/>
      <c r="I292" s="40"/>
      <c r="J292" s="41"/>
      <c r="L292" s="42"/>
      <c r="M292" s="32">
        <f t="shared" si="13"/>
        <v>0</v>
      </c>
    </row>
    <row r="293" spans="1:13" s="32" customFormat="1" ht="18" customHeight="1">
      <c r="A293" s="65"/>
      <c r="B293" s="67"/>
      <c r="C293" s="177" t="s">
        <v>35</v>
      </c>
      <c r="D293" s="177"/>
      <c r="E293" s="177"/>
      <c r="F293" s="147"/>
      <c r="G293" s="53">
        <f>SUM(G286:G292)</f>
        <v>4709.74</v>
      </c>
      <c r="H293" s="30"/>
      <c r="I293" s="40"/>
      <c r="J293" s="41"/>
      <c r="L293" s="168">
        <f>SUM(L286:L292)</f>
        <v>4709.736800000001</v>
      </c>
      <c r="M293" s="32">
        <f t="shared" si="13"/>
        <v>0</v>
      </c>
    </row>
    <row r="294" spans="1:13" s="32" customFormat="1" ht="18.75">
      <c r="A294" s="24">
        <v>130000</v>
      </c>
      <c r="B294" s="25" t="s">
        <v>334</v>
      </c>
      <c r="C294" s="26"/>
      <c r="D294" s="69"/>
      <c r="E294" s="28"/>
      <c r="F294" s="71"/>
      <c r="G294" s="38"/>
      <c r="H294" s="30"/>
      <c r="I294" s="40"/>
      <c r="J294" s="41"/>
      <c r="L294" s="42"/>
      <c r="M294" s="32">
        <f t="shared" si="13"/>
        <v>0</v>
      </c>
    </row>
    <row r="295" spans="1:13" s="32" customFormat="1" ht="18.75">
      <c r="A295" s="34">
        <v>130100</v>
      </c>
      <c r="B295" s="70" t="s">
        <v>335</v>
      </c>
      <c r="C295" s="64"/>
      <c r="D295" s="55"/>
      <c r="E295" s="37"/>
      <c r="F295" s="37"/>
      <c r="G295" s="38"/>
      <c r="H295" s="30"/>
      <c r="I295" s="40"/>
      <c r="J295" s="41"/>
      <c r="L295" s="42">
        <f aca="true" t="shared" si="16" ref="L295:L345">D295*F295</f>
        <v>0</v>
      </c>
      <c r="M295" s="32">
        <f t="shared" si="13"/>
        <v>0</v>
      </c>
    </row>
    <row r="296" spans="1:13" s="32" customFormat="1" ht="18.75">
      <c r="A296" s="43"/>
      <c r="B296" s="44"/>
      <c r="C296" s="36"/>
      <c r="D296" s="37"/>
      <c r="E296" s="37"/>
      <c r="F296" s="37"/>
      <c r="G296" s="38"/>
      <c r="H296" s="30"/>
      <c r="I296" s="40"/>
      <c r="J296" s="41"/>
      <c r="L296" s="42">
        <f t="shared" si="16"/>
        <v>0</v>
      </c>
      <c r="M296" s="32">
        <f t="shared" si="13"/>
        <v>0</v>
      </c>
    </row>
    <row r="297" spans="1:13" s="32" customFormat="1" ht="18.75">
      <c r="A297" s="43" t="s">
        <v>336</v>
      </c>
      <c r="B297" s="63" t="s">
        <v>337</v>
      </c>
      <c r="C297" s="36"/>
      <c r="D297" s="55"/>
      <c r="E297" s="37"/>
      <c r="F297" s="37"/>
      <c r="G297" s="38"/>
      <c r="H297" s="30"/>
      <c r="I297" s="40"/>
      <c r="J297" s="41"/>
      <c r="L297" s="42">
        <f t="shared" si="16"/>
        <v>0</v>
      </c>
      <c r="M297" s="32">
        <f t="shared" si="13"/>
        <v>0</v>
      </c>
    </row>
    <row r="298" spans="1:13" s="32" customFormat="1" ht="18.75">
      <c r="A298" s="43" t="s">
        <v>338</v>
      </c>
      <c r="B298" s="51" t="s">
        <v>339</v>
      </c>
      <c r="C298" s="36" t="s">
        <v>21</v>
      </c>
      <c r="D298" s="55">
        <v>4</v>
      </c>
      <c r="E298" s="37">
        <v>226.13</v>
      </c>
      <c r="F298" s="37">
        <f>ROUND(E298*1.2288,2)</f>
        <v>277.87</v>
      </c>
      <c r="G298" s="38">
        <f>ROUND(F298*D298,2)</f>
        <v>1111.48</v>
      </c>
      <c r="H298" s="30">
        <v>4</v>
      </c>
      <c r="I298" s="40"/>
      <c r="J298" s="41"/>
      <c r="L298" s="42">
        <f t="shared" si="16"/>
        <v>1111.48</v>
      </c>
      <c r="M298" s="32">
        <f t="shared" si="13"/>
        <v>904.52</v>
      </c>
    </row>
    <row r="299" spans="1:13" s="32" customFormat="1" ht="94.5">
      <c r="A299" s="43"/>
      <c r="B299" s="44" t="s">
        <v>340</v>
      </c>
      <c r="C299" s="36"/>
      <c r="D299" s="55"/>
      <c r="E299" s="37"/>
      <c r="F299" s="37"/>
      <c r="G299" s="38"/>
      <c r="H299" s="30"/>
      <c r="I299" s="40"/>
      <c r="J299" s="41"/>
      <c r="L299" s="42">
        <f t="shared" si="16"/>
        <v>0</v>
      </c>
      <c r="M299" s="32">
        <f t="shared" si="13"/>
        <v>0</v>
      </c>
    </row>
    <row r="300" spans="1:13" s="32" customFormat="1" ht="18.75">
      <c r="A300" s="43"/>
      <c r="B300" s="51"/>
      <c r="C300" s="36"/>
      <c r="D300" s="55"/>
      <c r="E300" s="37"/>
      <c r="F300" s="37"/>
      <c r="G300" s="38"/>
      <c r="H300" s="30"/>
      <c r="I300" s="40"/>
      <c r="J300" s="41"/>
      <c r="L300" s="42">
        <f t="shared" si="16"/>
        <v>0</v>
      </c>
      <c r="M300" s="32">
        <f t="shared" si="13"/>
        <v>0</v>
      </c>
    </row>
    <row r="301" spans="1:13" s="32" customFormat="1" ht="18.75">
      <c r="A301" s="43" t="s">
        <v>341</v>
      </c>
      <c r="B301" s="51" t="s">
        <v>342</v>
      </c>
      <c r="C301" s="36" t="s">
        <v>21</v>
      </c>
      <c r="D301" s="55">
        <v>2</v>
      </c>
      <c r="E301" s="37">
        <v>239.79</v>
      </c>
      <c r="F301" s="37">
        <f>ROUND(E301*1.2288,2)</f>
        <v>294.65</v>
      </c>
      <c r="G301" s="38">
        <f>ROUND(F301*D301,2)</f>
        <v>589.3</v>
      </c>
      <c r="H301" s="30">
        <v>2</v>
      </c>
      <c r="I301" s="40"/>
      <c r="J301" s="41"/>
      <c r="L301" s="42">
        <f t="shared" si="16"/>
        <v>589.3</v>
      </c>
      <c r="M301" s="32">
        <f t="shared" si="13"/>
        <v>479.58</v>
      </c>
    </row>
    <row r="302" spans="1:13" s="32" customFormat="1" ht="94.5">
      <c r="A302" s="43"/>
      <c r="B302" s="44" t="s">
        <v>343</v>
      </c>
      <c r="C302" s="36"/>
      <c r="D302" s="55"/>
      <c r="E302" s="37"/>
      <c r="F302" s="37"/>
      <c r="G302" s="38"/>
      <c r="H302" s="30"/>
      <c r="I302" s="40"/>
      <c r="J302" s="41"/>
      <c r="L302" s="42">
        <f t="shared" si="16"/>
        <v>0</v>
      </c>
      <c r="M302" s="32">
        <f t="shared" si="13"/>
        <v>0</v>
      </c>
    </row>
    <row r="303" spans="1:13" s="32" customFormat="1" ht="18.75">
      <c r="A303" s="43"/>
      <c r="B303" s="44"/>
      <c r="C303" s="36"/>
      <c r="D303" s="55"/>
      <c r="E303" s="37"/>
      <c r="F303" s="37"/>
      <c r="G303" s="38"/>
      <c r="H303" s="30"/>
      <c r="I303" s="40"/>
      <c r="J303" s="41"/>
      <c r="L303" s="42">
        <f t="shared" si="16"/>
        <v>0</v>
      </c>
      <c r="M303" s="32">
        <f t="shared" si="13"/>
        <v>0</v>
      </c>
    </row>
    <row r="304" spans="1:13" s="32" customFormat="1" ht="18.75">
      <c r="A304" s="43"/>
      <c r="B304" s="44"/>
      <c r="C304" s="36"/>
      <c r="D304" s="55"/>
      <c r="E304" s="37"/>
      <c r="F304" s="37"/>
      <c r="G304" s="38"/>
      <c r="H304" s="30"/>
      <c r="I304" s="40"/>
      <c r="J304" s="41"/>
      <c r="L304" s="42">
        <f t="shared" si="16"/>
        <v>0</v>
      </c>
      <c r="M304" s="32">
        <f t="shared" si="13"/>
        <v>0</v>
      </c>
    </row>
    <row r="305" spans="1:13" s="32" customFormat="1" ht="18.75">
      <c r="A305" s="43" t="s">
        <v>344</v>
      </c>
      <c r="B305" s="51" t="s">
        <v>345</v>
      </c>
      <c r="C305" s="36" t="s">
        <v>98</v>
      </c>
      <c r="D305" s="154">
        <f>2.35+1.36+1.36+3.89+1.6*4</f>
        <v>15.360000000000001</v>
      </c>
      <c r="E305" s="37">
        <v>110.01</v>
      </c>
      <c r="F305" s="37">
        <f>ROUND(E305*1.2288,2)</f>
        <v>135.18</v>
      </c>
      <c r="G305" s="38">
        <f>ROUND(F305*D305,2)</f>
        <v>2076.36</v>
      </c>
      <c r="H305" s="58" t="s">
        <v>346</v>
      </c>
      <c r="I305" s="40"/>
      <c r="J305" s="41"/>
      <c r="L305" s="42">
        <f t="shared" si="16"/>
        <v>2076.3648000000003</v>
      </c>
      <c r="M305" s="32">
        <f t="shared" si="13"/>
        <v>1689.7536000000002</v>
      </c>
    </row>
    <row r="306" spans="1:13" s="32" customFormat="1" ht="189">
      <c r="A306" s="43"/>
      <c r="B306" s="44" t="s">
        <v>347</v>
      </c>
      <c r="C306" s="36"/>
      <c r="D306" s="55"/>
      <c r="E306" s="37"/>
      <c r="F306" s="37"/>
      <c r="G306" s="38"/>
      <c r="H306" s="30"/>
      <c r="I306" s="40"/>
      <c r="J306" s="41"/>
      <c r="L306" s="42">
        <f t="shared" si="16"/>
        <v>0</v>
      </c>
      <c r="M306" s="32">
        <f t="shared" si="13"/>
        <v>0</v>
      </c>
    </row>
    <row r="307" spans="1:13" s="32" customFormat="1" ht="18.75">
      <c r="A307" s="43"/>
      <c r="B307" s="44"/>
      <c r="C307" s="36"/>
      <c r="D307" s="55"/>
      <c r="E307" s="37"/>
      <c r="F307" s="37"/>
      <c r="G307" s="38"/>
      <c r="H307" s="30"/>
      <c r="I307" s="40"/>
      <c r="J307" s="41"/>
      <c r="L307" s="42">
        <f t="shared" si="16"/>
        <v>0</v>
      </c>
      <c r="M307" s="32">
        <f t="shared" si="13"/>
        <v>0</v>
      </c>
    </row>
    <row r="308" spans="1:13" s="32" customFormat="1" ht="18.75">
      <c r="A308" s="43"/>
      <c r="B308" s="44"/>
      <c r="C308" s="36"/>
      <c r="D308" s="55"/>
      <c r="E308" s="37"/>
      <c r="F308" s="37"/>
      <c r="G308" s="38"/>
      <c r="H308" s="30"/>
      <c r="I308" s="40"/>
      <c r="J308" s="41"/>
      <c r="L308" s="42">
        <f t="shared" si="16"/>
        <v>0</v>
      </c>
      <c r="M308" s="32">
        <f t="shared" si="13"/>
        <v>0</v>
      </c>
    </row>
    <row r="309" spans="1:13" s="32" customFormat="1" ht="31.5">
      <c r="A309" s="43" t="s">
        <v>348</v>
      </c>
      <c r="B309" s="51" t="s">
        <v>349</v>
      </c>
      <c r="C309" s="36" t="s">
        <v>98</v>
      </c>
      <c r="D309" s="152">
        <f>2.35+3.89+1.6*4</f>
        <v>12.64</v>
      </c>
      <c r="E309" s="37">
        <v>517.8</v>
      </c>
      <c r="F309" s="37">
        <f>ROUND(E309*1.2288,2)</f>
        <v>636.27</v>
      </c>
      <c r="G309" s="38">
        <f>ROUND(F309*D309,2)</f>
        <v>8042.45</v>
      </c>
      <c r="H309" s="58" t="s">
        <v>350</v>
      </c>
      <c r="I309" s="40"/>
      <c r="J309" s="41"/>
      <c r="L309" s="42">
        <f t="shared" si="16"/>
        <v>8042.4528</v>
      </c>
      <c r="M309" s="32">
        <f t="shared" si="13"/>
        <v>6544.991999999999</v>
      </c>
    </row>
    <row r="310" spans="1:13" s="32" customFormat="1" ht="221.25" customHeight="1">
      <c r="A310" s="43"/>
      <c r="B310" s="44" t="s">
        <v>351</v>
      </c>
      <c r="C310" s="36"/>
      <c r="D310" s="55"/>
      <c r="E310" s="37"/>
      <c r="F310" s="37"/>
      <c r="G310" s="38"/>
      <c r="H310" s="30"/>
      <c r="I310" s="40"/>
      <c r="J310" s="41"/>
      <c r="L310" s="42">
        <f t="shared" si="16"/>
        <v>0</v>
      </c>
      <c r="M310" s="32">
        <f t="shared" si="13"/>
        <v>0</v>
      </c>
    </row>
    <row r="311" spans="1:13" s="32" customFormat="1" ht="18" customHeight="1">
      <c r="A311" s="65"/>
      <c r="B311" s="67"/>
      <c r="C311" s="177" t="s">
        <v>35</v>
      </c>
      <c r="D311" s="177"/>
      <c r="E311" s="177"/>
      <c r="F311" s="147"/>
      <c r="G311" s="53">
        <f>SUM(G296:G310)</f>
        <v>11819.59</v>
      </c>
      <c r="H311" s="30"/>
      <c r="I311" s="40"/>
      <c r="J311" s="41"/>
      <c r="L311" s="168">
        <f>SUM(L295:L310)</f>
        <v>11819.597600000001</v>
      </c>
      <c r="M311" s="32">
        <f t="shared" si="13"/>
        <v>0</v>
      </c>
    </row>
    <row r="312" spans="1:13" s="32" customFormat="1" ht="18.75">
      <c r="A312" s="24">
        <v>140000</v>
      </c>
      <c r="B312" s="25" t="s">
        <v>352</v>
      </c>
      <c r="C312" s="26"/>
      <c r="D312" s="69"/>
      <c r="E312" s="28"/>
      <c r="F312" s="71"/>
      <c r="G312" s="38"/>
      <c r="H312" s="30"/>
      <c r="I312" s="40"/>
      <c r="J312" s="41"/>
      <c r="L312" s="42">
        <f t="shared" si="16"/>
        <v>0</v>
      </c>
      <c r="M312" s="32">
        <f t="shared" si="13"/>
        <v>0</v>
      </c>
    </row>
    <row r="313" spans="1:13" s="32" customFormat="1" ht="18.75">
      <c r="A313" s="34">
        <v>140100</v>
      </c>
      <c r="B313" s="70" t="s">
        <v>116</v>
      </c>
      <c r="C313" s="64"/>
      <c r="D313" s="55"/>
      <c r="E313" s="37"/>
      <c r="F313" s="37"/>
      <c r="G313" s="38"/>
      <c r="H313" s="30"/>
      <c r="I313" s="40"/>
      <c r="J313" s="41"/>
      <c r="L313" s="42">
        <f t="shared" si="16"/>
        <v>0</v>
      </c>
      <c r="M313" s="32">
        <f t="shared" si="13"/>
        <v>0</v>
      </c>
    </row>
    <row r="314" spans="1:13" s="32" customFormat="1" ht="31.5">
      <c r="A314" s="43">
        <v>140101</v>
      </c>
      <c r="B314" s="51" t="s">
        <v>353</v>
      </c>
      <c r="C314" s="36" t="s">
        <v>15</v>
      </c>
      <c r="D314" s="155">
        <f>(1.82*3*2+2.11*3*2)*2</f>
        <v>47.16</v>
      </c>
      <c r="E314" s="37">
        <v>26.65</v>
      </c>
      <c r="F314" s="37">
        <f>ROUND(E314*1.2288,2)</f>
        <v>32.75</v>
      </c>
      <c r="G314" s="38">
        <f>ROUND(F314*D314,2)</f>
        <v>1544.49</v>
      </c>
      <c r="H314" s="55" t="s">
        <v>354</v>
      </c>
      <c r="I314" s="40" t="s">
        <v>213</v>
      </c>
      <c r="J314" s="41"/>
      <c r="L314" s="42">
        <f t="shared" si="16"/>
        <v>1544.4899999999998</v>
      </c>
      <c r="M314" s="32">
        <f t="shared" si="13"/>
        <v>1256.8139999999999</v>
      </c>
    </row>
    <row r="315" spans="1:13" s="32" customFormat="1" ht="78.75" customHeight="1">
      <c r="A315" s="43"/>
      <c r="B315" s="44" t="s">
        <v>355</v>
      </c>
      <c r="C315" s="36"/>
      <c r="D315" s="55"/>
      <c r="E315" s="37"/>
      <c r="F315" s="37"/>
      <c r="G315" s="38"/>
      <c r="H315" s="30"/>
      <c r="I315" s="40"/>
      <c r="J315" s="41"/>
      <c r="L315" s="42">
        <f t="shared" si="16"/>
        <v>0</v>
      </c>
      <c r="M315" s="32">
        <f t="shared" si="13"/>
        <v>0</v>
      </c>
    </row>
    <row r="316" spans="1:13" s="32" customFormat="1" ht="18.75">
      <c r="A316" s="43"/>
      <c r="B316" s="44"/>
      <c r="C316" s="36"/>
      <c r="D316" s="55"/>
      <c r="E316" s="37"/>
      <c r="F316" s="37"/>
      <c r="G316" s="38"/>
      <c r="H316" s="30"/>
      <c r="I316" s="40"/>
      <c r="J316" s="41"/>
      <c r="L316" s="42">
        <f t="shared" si="16"/>
        <v>0</v>
      </c>
      <c r="M316" s="32">
        <f t="shared" si="13"/>
        <v>0</v>
      </c>
    </row>
    <row r="317" spans="1:13" s="32" customFormat="1" ht="126">
      <c r="A317" s="43" t="s">
        <v>356</v>
      </c>
      <c r="B317" s="51" t="s">
        <v>357</v>
      </c>
      <c r="C317" s="36" t="s">
        <v>15</v>
      </c>
      <c r="D317" s="153">
        <v>440.54</v>
      </c>
      <c r="E317" s="37">
        <v>26.09</v>
      </c>
      <c r="F317" s="37">
        <f>ROUND(E317*1.2288,2)</f>
        <v>32.06</v>
      </c>
      <c r="G317" s="38">
        <f>ROUND(F317*D317,2)</f>
        <v>14123.71</v>
      </c>
      <c r="H317" s="30" t="s">
        <v>358</v>
      </c>
      <c r="I317" s="40"/>
      <c r="J317" s="41"/>
      <c r="L317" s="42">
        <f t="shared" si="16"/>
        <v>14123.712400000002</v>
      </c>
      <c r="M317" s="32">
        <f t="shared" si="13"/>
        <v>11493.688600000001</v>
      </c>
    </row>
    <row r="318" spans="1:13" s="32" customFormat="1" ht="81" customHeight="1">
      <c r="A318" s="43"/>
      <c r="B318" s="44" t="s">
        <v>359</v>
      </c>
      <c r="C318" s="36"/>
      <c r="D318" s="55"/>
      <c r="E318" s="37"/>
      <c r="F318" s="37"/>
      <c r="G318" s="38"/>
      <c r="H318" s="30"/>
      <c r="I318" s="40"/>
      <c r="J318" s="41"/>
      <c r="L318" s="42">
        <f t="shared" si="16"/>
        <v>0</v>
      </c>
      <c r="M318" s="32">
        <f t="shared" si="13"/>
        <v>0</v>
      </c>
    </row>
    <row r="319" spans="1:13" s="32" customFormat="1" ht="18.75">
      <c r="A319" s="43"/>
      <c r="B319" s="44"/>
      <c r="C319" s="36"/>
      <c r="D319" s="55"/>
      <c r="E319" s="37"/>
      <c r="F319" s="37"/>
      <c r="G319" s="38"/>
      <c r="H319" s="30"/>
      <c r="I319" s="40"/>
      <c r="J319" s="41"/>
      <c r="L319" s="42">
        <f t="shared" si="16"/>
        <v>0</v>
      </c>
      <c r="M319" s="32">
        <f t="shared" si="13"/>
        <v>0</v>
      </c>
    </row>
    <row r="320" spans="1:13" s="32" customFormat="1" ht="18.75">
      <c r="A320" s="43"/>
      <c r="B320" s="44"/>
      <c r="C320" s="36"/>
      <c r="D320" s="55"/>
      <c r="E320" s="37"/>
      <c r="F320" s="37"/>
      <c r="G320" s="38"/>
      <c r="H320" s="30"/>
      <c r="I320" s="40"/>
      <c r="J320" s="41"/>
      <c r="L320" s="42">
        <f t="shared" si="16"/>
        <v>0</v>
      </c>
      <c r="M320" s="32">
        <f t="shared" si="13"/>
        <v>0</v>
      </c>
    </row>
    <row r="321" spans="1:13" s="32" customFormat="1" ht="110.25">
      <c r="A321" s="43" t="s">
        <v>360</v>
      </c>
      <c r="B321" s="51" t="s">
        <v>361</v>
      </c>
      <c r="C321" s="36" t="s">
        <v>15</v>
      </c>
      <c r="D321" s="55">
        <f>(28-4.7-1.6)*1.5*4+18*3+18*1.5*2+21.62*4*0.5+(3.75+1.66)*0.5*2+2.58*3+2.58*2.5*2+4.5*4*3+3.74*2.35*2+1.24*2.5+8.24*0.52+4.7*2*3+4.78*3*3+1.82*4+4.78*1.82+3.74*2.58-1.6*1.5+4.78*1+2.02*1</f>
        <v>487.7015999999999</v>
      </c>
      <c r="E321" s="37">
        <v>7.04</v>
      </c>
      <c r="F321" s="37">
        <f>ROUND(E321*1.2288,2)</f>
        <v>8.65</v>
      </c>
      <c r="G321" s="38">
        <f>ROUND(F321*D321,2)</f>
        <v>4218.62</v>
      </c>
      <c r="H321" s="30" t="s">
        <v>362</v>
      </c>
      <c r="I321" s="40"/>
      <c r="J321" s="41"/>
      <c r="L321" s="42">
        <f t="shared" si="16"/>
        <v>4218.618839999999</v>
      </c>
      <c r="M321" s="32">
        <f t="shared" si="13"/>
        <v>3433.4192639999997</v>
      </c>
    </row>
    <row r="322" spans="1:13" s="32" customFormat="1" ht="78.75">
      <c r="A322" s="43"/>
      <c r="B322" s="44" t="s">
        <v>363</v>
      </c>
      <c r="C322" s="36"/>
      <c r="D322" s="55"/>
      <c r="E322" s="37"/>
      <c r="F322" s="37"/>
      <c r="G322" s="38"/>
      <c r="H322" s="30"/>
      <c r="I322" s="40"/>
      <c r="J322" s="41"/>
      <c r="L322" s="42">
        <f t="shared" si="16"/>
        <v>0</v>
      </c>
      <c r="M322" s="32">
        <f t="shared" si="13"/>
        <v>0</v>
      </c>
    </row>
    <row r="323" spans="1:13" s="32" customFormat="1" ht="18.75">
      <c r="A323" s="43"/>
      <c r="B323" s="51"/>
      <c r="C323" s="36"/>
      <c r="D323" s="55"/>
      <c r="E323" s="37"/>
      <c r="F323" s="37"/>
      <c r="G323" s="38"/>
      <c r="H323" s="30"/>
      <c r="I323" s="40"/>
      <c r="J323" s="41"/>
      <c r="L323" s="42">
        <f t="shared" si="16"/>
        <v>0</v>
      </c>
      <c r="M323" s="32">
        <f t="shared" si="13"/>
        <v>0</v>
      </c>
    </row>
    <row r="324" spans="1:13" s="32" customFormat="1" ht="18.75">
      <c r="A324" s="43"/>
      <c r="B324" s="51"/>
      <c r="C324" s="36"/>
      <c r="D324" s="55"/>
      <c r="E324" s="37"/>
      <c r="F324" s="37"/>
      <c r="G324" s="38"/>
      <c r="H324" s="30"/>
      <c r="I324" s="40"/>
      <c r="J324" s="41"/>
      <c r="L324" s="42">
        <f t="shared" si="16"/>
        <v>0</v>
      </c>
      <c r="M324" s="32">
        <f t="shared" si="13"/>
        <v>0</v>
      </c>
    </row>
    <row r="325" spans="1:13" s="32" customFormat="1" ht="31.5">
      <c r="A325" s="43" t="s">
        <v>364</v>
      </c>
      <c r="B325" s="79" t="s">
        <v>365</v>
      </c>
      <c r="C325" s="36" t="s">
        <v>15</v>
      </c>
      <c r="D325" s="154">
        <f>D314</f>
        <v>47.16</v>
      </c>
      <c r="E325" s="37">
        <v>52.15</v>
      </c>
      <c r="F325" s="37">
        <f>ROUND(E325*1.2288,2)</f>
        <v>64.08</v>
      </c>
      <c r="G325" s="38">
        <f>ROUND(F325*D325,2)</f>
        <v>3022.01</v>
      </c>
      <c r="H325" s="55" t="s">
        <v>354</v>
      </c>
      <c r="I325" s="40" t="s">
        <v>213</v>
      </c>
      <c r="J325" s="41"/>
      <c r="L325" s="42">
        <f t="shared" si="16"/>
        <v>3022.0127999999995</v>
      </c>
      <c r="M325" s="32">
        <f t="shared" si="13"/>
        <v>2459.394</v>
      </c>
    </row>
    <row r="326" spans="1:13" s="32" customFormat="1" ht="267.75">
      <c r="A326" s="43"/>
      <c r="B326" s="48" t="s">
        <v>366</v>
      </c>
      <c r="C326" s="36"/>
      <c r="D326" s="55"/>
      <c r="E326" s="37"/>
      <c r="F326" s="37"/>
      <c r="G326" s="38"/>
      <c r="H326" s="30"/>
      <c r="I326" s="40"/>
      <c r="J326" s="41"/>
      <c r="L326" s="42">
        <f t="shared" si="16"/>
        <v>0</v>
      </c>
      <c r="M326" s="32">
        <f t="shared" si="13"/>
        <v>0</v>
      </c>
    </row>
    <row r="327" spans="1:13" s="32" customFormat="1" ht="18.75">
      <c r="A327" s="43"/>
      <c r="B327" s="80"/>
      <c r="C327" s="36"/>
      <c r="D327" s="55"/>
      <c r="E327" s="37"/>
      <c r="F327" s="37"/>
      <c r="G327" s="38"/>
      <c r="H327" s="30"/>
      <c r="I327" s="40"/>
      <c r="J327" s="41"/>
      <c r="L327" s="42">
        <f t="shared" si="16"/>
        <v>0</v>
      </c>
      <c r="M327" s="32">
        <f t="shared" si="13"/>
        <v>0</v>
      </c>
    </row>
    <row r="328" spans="1:13" s="32" customFormat="1" ht="18" customHeight="1">
      <c r="A328" s="73"/>
      <c r="B328" s="56"/>
      <c r="C328" s="177" t="s">
        <v>35</v>
      </c>
      <c r="D328" s="177"/>
      <c r="E328" s="177"/>
      <c r="F328" s="147"/>
      <c r="G328" s="53">
        <f>SUM(G314:G327)</f>
        <v>22908.83</v>
      </c>
      <c r="H328" s="30"/>
      <c r="I328" s="40"/>
      <c r="J328" s="41"/>
      <c r="L328" s="168">
        <f>SUM(L313:L326)</f>
        <v>22908.83404</v>
      </c>
      <c r="M328" s="32">
        <f aca="true" t="shared" si="17" ref="M328:M391">D328*E328</f>
        <v>0</v>
      </c>
    </row>
    <row r="329" spans="1:13" s="32" customFormat="1" ht="18.75">
      <c r="A329" s="24">
        <v>150000</v>
      </c>
      <c r="B329" s="25" t="s">
        <v>367</v>
      </c>
      <c r="C329" s="26"/>
      <c r="D329" s="69"/>
      <c r="E329" s="37"/>
      <c r="F329" s="37"/>
      <c r="G329" s="38"/>
      <c r="H329" s="30"/>
      <c r="I329" s="40"/>
      <c r="J329" s="41"/>
      <c r="L329" s="42">
        <f t="shared" si="16"/>
        <v>0</v>
      </c>
      <c r="M329" s="32">
        <f t="shared" si="17"/>
        <v>0</v>
      </c>
    </row>
    <row r="330" spans="1:13" s="32" customFormat="1" ht="18.75">
      <c r="A330" s="34">
        <v>150100</v>
      </c>
      <c r="B330" s="70" t="s">
        <v>368</v>
      </c>
      <c r="C330" s="64"/>
      <c r="D330" s="55"/>
      <c r="E330" s="37"/>
      <c r="F330" s="37"/>
      <c r="G330" s="38"/>
      <c r="H330" s="30"/>
      <c r="I330" s="40"/>
      <c r="J330" s="41"/>
      <c r="L330" s="42">
        <f t="shared" si="16"/>
        <v>0</v>
      </c>
      <c r="M330" s="32">
        <f t="shared" si="17"/>
        <v>0</v>
      </c>
    </row>
    <row r="331" spans="1:13" s="32" customFormat="1" ht="18.75">
      <c r="A331" s="43"/>
      <c r="B331" s="44"/>
      <c r="C331" s="36"/>
      <c r="D331" s="55"/>
      <c r="E331" s="37"/>
      <c r="F331" s="37"/>
      <c r="G331" s="38"/>
      <c r="H331" s="30"/>
      <c r="I331" s="40"/>
      <c r="J331" s="41"/>
      <c r="L331" s="42">
        <f t="shared" si="16"/>
        <v>0</v>
      </c>
      <c r="M331" s="32">
        <f t="shared" si="17"/>
        <v>0</v>
      </c>
    </row>
    <row r="332" spans="1:13" s="32" customFormat="1" ht="47.25">
      <c r="A332" s="43" t="s">
        <v>369</v>
      </c>
      <c r="B332" s="47" t="s">
        <v>370</v>
      </c>
      <c r="C332" s="36" t="s">
        <v>26</v>
      </c>
      <c r="D332" s="154">
        <v>7.68</v>
      </c>
      <c r="E332" s="37">
        <v>74.38</v>
      </c>
      <c r="F332" s="37">
        <f>ROUND(E332*1.2288,2)</f>
        <v>91.4</v>
      </c>
      <c r="G332" s="38">
        <f>ROUND(F332*D332,2)</f>
        <v>701.95</v>
      </c>
      <c r="H332" s="30" t="s">
        <v>371</v>
      </c>
      <c r="I332" s="40" t="s">
        <v>195</v>
      </c>
      <c r="J332" s="41"/>
      <c r="L332" s="42">
        <f t="shared" si="16"/>
        <v>701.952</v>
      </c>
      <c r="M332" s="32">
        <f t="shared" si="17"/>
        <v>571.2384</v>
      </c>
    </row>
    <row r="333" spans="1:13" s="32" customFormat="1" ht="327.75" customHeight="1">
      <c r="A333" s="43"/>
      <c r="B333" s="44" t="s">
        <v>372</v>
      </c>
      <c r="C333" s="36"/>
      <c r="D333" s="55"/>
      <c r="E333" s="37"/>
      <c r="F333" s="37"/>
      <c r="G333" s="38"/>
      <c r="H333" s="30"/>
      <c r="I333" s="40"/>
      <c r="J333" s="41"/>
      <c r="L333" s="42">
        <f t="shared" si="16"/>
        <v>0</v>
      </c>
      <c r="M333" s="32">
        <f t="shared" si="17"/>
        <v>0</v>
      </c>
    </row>
    <row r="334" spans="1:13" s="32" customFormat="1" ht="18.75">
      <c r="A334" s="43"/>
      <c r="B334" s="44"/>
      <c r="C334" s="36"/>
      <c r="D334" s="55"/>
      <c r="E334" s="37"/>
      <c r="F334" s="37"/>
      <c r="G334" s="38"/>
      <c r="H334" s="30"/>
      <c r="I334" s="40"/>
      <c r="J334" s="41"/>
      <c r="L334" s="42">
        <f t="shared" si="16"/>
        <v>0</v>
      </c>
      <c r="M334" s="32">
        <f t="shared" si="17"/>
        <v>0</v>
      </c>
    </row>
    <row r="335" spans="1:13" s="32" customFormat="1" ht="18.75">
      <c r="A335" s="43"/>
      <c r="B335" s="51"/>
      <c r="C335" s="64"/>
      <c r="D335" s="55"/>
      <c r="E335" s="37"/>
      <c r="F335" s="37"/>
      <c r="G335" s="38"/>
      <c r="H335" s="30"/>
      <c r="I335" s="40"/>
      <c r="J335" s="41"/>
      <c r="L335" s="42">
        <f t="shared" si="16"/>
        <v>0</v>
      </c>
      <c r="M335" s="32">
        <f t="shared" si="17"/>
        <v>0</v>
      </c>
    </row>
    <row r="336" spans="1:13" s="32" customFormat="1" ht="56.25">
      <c r="A336" s="43" t="s">
        <v>373</v>
      </c>
      <c r="B336" s="51" t="s">
        <v>374</v>
      </c>
      <c r="C336" s="64" t="s">
        <v>15</v>
      </c>
      <c r="D336" s="153">
        <f>31*2*0.4+21*2*0.4+1.5*8*0.4+1.24*0.4+2.5*0.4+0.6*0.4*2+1.36*0.4</f>
        <v>48.92</v>
      </c>
      <c r="E336" s="37">
        <v>77.91</v>
      </c>
      <c r="F336" s="37">
        <f>ROUND(E336*1.2288,2)</f>
        <v>95.74</v>
      </c>
      <c r="G336" s="38">
        <f>ROUND(F336*D336,2)</f>
        <v>4683.6</v>
      </c>
      <c r="H336" s="58" t="s">
        <v>375</v>
      </c>
      <c r="I336" s="40" t="s">
        <v>376</v>
      </c>
      <c r="J336" s="41"/>
      <c r="L336" s="42">
        <f t="shared" si="16"/>
        <v>4683.6008</v>
      </c>
      <c r="M336" s="32">
        <f t="shared" si="17"/>
        <v>3811.3572</v>
      </c>
    </row>
    <row r="337" spans="1:13" s="32" customFormat="1" ht="141.75">
      <c r="A337" s="43"/>
      <c r="B337" s="44" t="s">
        <v>377</v>
      </c>
      <c r="C337" s="64"/>
      <c r="D337" s="55"/>
      <c r="E337" s="37"/>
      <c r="F337" s="37"/>
      <c r="G337" s="38"/>
      <c r="H337" s="30"/>
      <c r="I337" s="40"/>
      <c r="J337" s="41"/>
      <c r="L337" s="42">
        <f t="shared" si="16"/>
        <v>0</v>
      </c>
      <c r="M337" s="32">
        <f t="shared" si="17"/>
        <v>0</v>
      </c>
    </row>
    <row r="338" spans="1:13" s="32" customFormat="1" ht="18.75">
      <c r="A338" s="43"/>
      <c r="B338" s="44"/>
      <c r="C338" s="64"/>
      <c r="D338" s="55"/>
      <c r="E338" s="37"/>
      <c r="F338" s="37"/>
      <c r="G338" s="38"/>
      <c r="H338" s="30"/>
      <c r="I338" s="40"/>
      <c r="J338" s="41"/>
      <c r="L338" s="42">
        <f t="shared" si="16"/>
        <v>0</v>
      </c>
      <c r="M338" s="32">
        <f t="shared" si="17"/>
        <v>0</v>
      </c>
    </row>
    <row r="339" spans="1:13" s="32" customFormat="1" ht="18.75">
      <c r="A339" s="43" t="s">
        <v>378</v>
      </c>
      <c r="B339" s="63" t="s">
        <v>379</v>
      </c>
      <c r="C339" s="36"/>
      <c r="D339" s="55"/>
      <c r="E339" s="37"/>
      <c r="F339" s="37"/>
      <c r="G339" s="38"/>
      <c r="H339" s="30"/>
      <c r="I339" s="40"/>
      <c r="J339" s="41"/>
      <c r="L339" s="42">
        <f t="shared" si="16"/>
        <v>0</v>
      </c>
      <c r="M339" s="32">
        <f t="shared" si="17"/>
        <v>0</v>
      </c>
    </row>
    <row r="340" spans="1:13" s="32" customFormat="1" ht="31.5">
      <c r="A340" s="43" t="s">
        <v>380</v>
      </c>
      <c r="B340" s="51" t="s">
        <v>87</v>
      </c>
      <c r="C340" s="36" t="s">
        <v>26</v>
      </c>
      <c r="D340" s="153">
        <v>8.14</v>
      </c>
      <c r="E340" s="37">
        <v>44.98</v>
      </c>
      <c r="F340" s="37">
        <f>+E340*1.2288</f>
        <v>55.27142399999999</v>
      </c>
      <c r="G340" s="38">
        <f>+F340*D340</f>
        <v>449.9093913599999</v>
      </c>
      <c r="H340" s="30" t="s">
        <v>381</v>
      </c>
      <c r="I340" s="40" t="s">
        <v>382</v>
      </c>
      <c r="J340" s="41"/>
      <c r="K340" s="165"/>
      <c r="L340" s="42">
        <f t="shared" si="16"/>
        <v>449.9093913599999</v>
      </c>
      <c r="M340" s="32">
        <f t="shared" si="17"/>
        <v>366.1372</v>
      </c>
    </row>
    <row r="341" spans="1:13" s="32" customFormat="1" ht="47.25">
      <c r="A341" s="43"/>
      <c r="B341" s="44" t="s">
        <v>383</v>
      </c>
      <c r="C341" s="36"/>
      <c r="D341" s="55"/>
      <c r="E341" s="37"/>
      <c r="F341" s="37"/>
      <c r="G341" s="38"/>
      <c r="H341" s="30"/>
      <c r="I341" s="40"/>
      <c r="J341" s="41"/>
      <c r="K341" s="165"/>
      <c r="L341" s="42">
        <f t="shared" si="16"/>
        <v>0</v>
      </c>
      <c r="M341" s="32">
        <f t="shared" si="17"/>
        <v>0</v>
      </c>
    </row>
    <row r="342" spans="1:13" s="32" customFormat="1" ht="18.75">
      <c r="A342" s="43"/>
      <c r="B342" s="44"/>
      <c r="C342" s="36"/>
      <c r="D342" s="55"/>
      <c r="E342" s="37"/>
      <c r="F342" s="37"/>
      <c r="G342" s="38"/>
      <c r="H342" s="30"/>
      <c r="I342" s="40"/>
      <c r="J342" s="41"/>
      <c r="L342" s="42">
        <f t="shared" si="16"/>
        <v>0</v>
      </c>
      <c r="M342" s="32">
        <f t="shared" si="17"/>
        <v>0</v>
      </c>
    </row>
    <row r="343" spans="1:13" s="32" customFormat="1" ht="18.75">
      <c r="A343" s="43"/>
      <c r="B343" s="44"/>
      <c r="C343" s="36"/>
      <c r="D343" s="55"/>
      <c r="E343" s="37"/>
      <c r="F343" s="37"/>
      <c r="G343" s="38"/>
      <c r="H343" s="30"/>
      <c r="I343" s="40"/>
      <c r="J343" s="41"/>
      <c r="L343" s="42">
        <f t="shared" si="16"/>
        <v>0</v>
      </c>
      <c r="M343" s="32">
        <f t="shared" si="17"/>
        <v>0</v>
      </c>
    </row>
    <row r="344" spans="1:16" s="32" customFormat="1" ht="63">
      <c r="A344" s="43" t="s">
        <v>384</v>
      </c>
      <c r="B344" s="51" t="s">
        <v>385</v>
      </c>
      <c r="C344" s="36" t="s">
        <v>26</v>
      </c>
      <c r="D344" s="153">
        <v>269.64</v>
      </c>
      <c r="E344" s="37">
        <v>55.2</v>
      </c>
      <c r="F344" s="37">
        <f>+E344*1.2288</f>
        <v>67.82976</v>
      </c>
      <c r="G344" s="38">
        <f>+F344*D344</f>
        <v>18289.6164864</v>
      </c>
      <c r="H344" s="30" t="s">
        <v>386</v>
      </c>
      <c r="I344" s="40" t="s">
        <v>387</v>
      </c>
      <c r="J344" s="41"/>
      <c r="K344" s="166"/>
      <c r="L344" s="42">
        <f t="shared" si="16"/>
        <v>18289.6164864</v>
      </c>
      <c r="M344" s="32">
        <f t="shared" si="17"/>
        <v>14884.128</v>
      </c>
      <c r="N344" s="167"/>
      <c r="O344" s="167"/>
      <c r="P344" s="167"/>
    </row>
    <row r="345" spans="1:16" s="32" customFormat="1" ht="78.75">
      <c r="A345" s="43"/>
      <c r="B345" s="44" t="s">
        <v>388</v>
      </c>
      <c r="C345" s="36"/>
      <c r="D345" s="55"/>
      <c r="E345" s="37"/>
      <c r="F345" s="37"/>
      <c r="G345" s="38"/>
      <c r="H345" s="30"/>
      <c r="I345" s="40"/>
      <c r="J345" s="41"/>
      <c r="K345" s="166"/>
      <c r="L345" s="42">
        <f t="shared" si="16"/>
        <v>0</v>
      </c>
      <c r="M345" s="32">
        <f t="shared" si="17"/>
        <v>0</v>
      </c>
      <c r="N345" s="167"/>
      <c r="O345" s="167"/>
      <c r="P345" s="167"/>
    </row>
    <row r="346" spans="1:16" s="32" customFormat="1" ht="20.25">
      <c r="A346" s="43"/>
      <c r="B346" s="44"/>
      <c r="C346" s="61"/>
      <c r="D346" s="55"/>
      <c r="E346" s="82"/>
      <c r="F346" s="82"/>
      <c r="G346" s="38"/>
      <c r="H346" s="30"/>
      <c r="I346" s="40"/>
      <c r="J346" s="41"/>
      <c r="K346" s="83"/>
      <c r="L346" s="168">
        <f>SUM(L330:L345)</f>
        <v>24125.07867776</v>
      </c>
      <c r="M346" s="32">
        <f t="shared" si="17"/>
        <v>0</v>
      </c>
      <c r="N346" s="83"/>
      <c r="O346" s="83"/>
      <c r="P346" s="83"/>
    </row>
    <row r="347" spans="1:13" s="32" customFormat="1" ht="18" customHeight="1">
      <c r="A347" s="73"/>
      <c r="B347" s="56"/>
      <c r="C347" s="177" t="s">
        <v>35</v>
      </c>
      <c r="D347" s="177"/>
      <c r="E347" s="177"/>
      <c r="F347" s="147"/>
      <c r="G347" s="53">
        <f>SUM(G329:G346)</f>
        <v>24125.07587776</v>
      </c>
      <c r="H347" s="30"/>
      <c r="I347" s="40"/>
      <c r="J347" s="41"/>
      <c r="L347" s="42"/>
      <c r="M347" s="32">
        <f t="shared" si="17"/>
        <v>0</v>
      </c>
    </row>
    <row r="348" spans="1:13" s="32" customFormat="1" ht="18.75">
      <c r="A348" s="84">
        <v>170000</v>
      </c>
      <c r="B348" s="25" t="s">
        <v>389</v>
      </c>
      <c r="C348" s="85"/>
      <c r="D348" s="69"/>
      <c r="E348" s="28"/>
      <c r="F348" s="71"/>
      <c r="G348" s="38"/>
      <c r="H348" s="30"/>
      <c r="I348" s="40"/>
      <c r="J348" s="41"/>
      <c r="L348" s="42"/>
      <c r="M348" s="32">
        <f t="shared" si="17"/>
        <v>0</v>
      </c>
    </row>
    <row r="349" spans="1:13" s="32" customFormat="1" ht="18.75">
      <c r="A349" s="86">
        <v>170100</v>
      </c>
      <c r="B349" s="70" t="s">
        <v>390</v>
      </c>
      <c r="C349" s="64"/>
      <c r="D349" s="55"/>
      <c r="E349" s="37"/>
      <c r="F349" s="37"/>
      <c r="G349" s="38"/>
      <c r="H349" s="30"/>
      <c r="I349" s="40"/>
      <c r="J349" s="41"/>
      <c r="L349" s="42"/>
      <c r="M349" s="32">
        <f t="shared" si="17"/>
        <v>0</v>
      </c>
    </row>
    <row r="350" spans="1:13" s="32" customFormat="1" ht="18.75">
      <c r="A350" s="87"/>
      <c r="B350" s="51"/>
      <c r="C350" s="36"/>
      <c r="D350" s="55"/>
      <c r="E350" s="37"/>
      <c r="F350" s="37"/>
      <c r="G350" s="38"/>
      <c r="H350" s="30"/>
      <c r="I350" s="40"/>
      <c r="J350" s="41"/>
      <c r="L350" s="42"/>
      <c r="M350" s="32">
        <f t="shared" si="17"/>
        <v>0</v>
      </c>
    </row>
    <row r="351" spans="1:13" s="32" customFormat="1" ht="21">
      <c r="A351" s="87">
        <v>170103</v>
      </c>
      <c r="B351" s="51" t="s">
        <v>391</v>
      </c>
      <c r="C351" s="36" t="s">
        <v>26</v>
      </c>
      <c r="D351" s="154">
        <v>17.33</v>
      </c>
      <c r="E351" s="37">
        <v>16.66</v>
      </c>
      <c r="F351" s="37">
        <f>ROUND(E351*1.2288,2)</f>
        <v>20.47</v>
      </c>
      <c r="G351" s="38">
        <f>ROUND(F351*D351,2)</f>
        <v>354.75</v>
      </c>
      <c r="H351" s="58" t="s">
        <v>392</v>
      </c>
      <c r="I351" s="40" t="s">
        <v>393</v>
      </c>
      <c r="J351" s="41"/>
      <c r="L351" s="42">
        <f aca="true" t="shared" si="18" ref="L351:L356">D351*F351</f>
        <v>354.7450999999999</v>
      </c>
      <c r="M351" s="32">
        <f t="shared" si="17"/>
        <v>288.71779999999995</v>
      </c>
    </row>
    <row r="352" spans="1:13" s="32" customFormat="1" ht="139.5" customHeight="1">
      <c r="A352" s="87"/>
      <c r="B352" s="44" t="s">
        <v>394</v>
      </c>
      <c r="C352" s="36"/>
      <c r="D352" s="55"/>
      <c r="E352" s="37"/>
      <c r="F352" s="37"/>
      <c r="G352" s="38"/>
      <c r="H352" s="30"/>
      <c r="I352" s="40"/>
      <c r="J352" s="41"/>
      <c r="L352" s="42">
        <f t="shared" si="18"/>
        <v>0</v>
      </c>
      <c r="M352" s="32">
        <f t="shared" si="17"/>
        <v>0</v>
      </c>
    </row>
    <row r="353" spans="1:13" s="32" customFormat="1" ht="18.75">
      <c r="A353" s="87"/>
      <c r="B353" s="44"/>
      <c r="C353" s="36"/>
      <c r="D353" s="55"/>
      <c r="E353" s="37"/>
      <c r="F353" s="37"/>
      <c r="G353" s="38"/>
      <c r="H353" s="30"/>
      <c r="I353" s="40"/>
      <c r="J353" s="41"/>
      <c r="L353" s="42">
        <f t="shared" si="18"/>
        <v>0</v>
      </c>
      <c r="M353" s="32">
        <f t="shared" si="17"/>
        <v>0</v>
      </c>
    </row>
    <row r="354" spans="1:13" s="32" customFormat="1" ht="18.75">
      <c r="A354" s="87"/>
      <c r="B354" s="44"/>
      <c r="C354" s="36"/>
      <c r="D354" s="55"/>
      <c r="E354" s="37"/>
      <c r="F354" s="37"/>
      <c r="G354" s="38"/>
      <c r="H354" s="30"/>
      <c r="I354" s="40"/>
      <c r="J354" s="41"/>
      <c r="L354" s="42">
        <f t="shared" si="18"/>
        <v>0</v>
      </c>
      <c r="M354" s="32">
        <f t="shared" si="17"/>
        <v>0</v>
      </c>
    </row>
    <row r="355" spans="1:13" s="32" customFormat="1" ht="141.75">
      <c r="A355" s="87">
        <v>170203</v>
      </c>
      <c r="B355" s="51" t="s">
        <v>395</v>
      </c>
      <c r="C355" s="36" t="s">
        <v>15</v>
      </c>
      <c r="D355" s="153">
        <v>423.21</v>
      </c>
      <c r="E355" s="37">
        <v>21.9</v>
      </c>
      <c r="F355" s="37">
        <f>ROUND(E355*1.2288,2)</f>
        <v>26.91</v>
      </c>
      <c r="G355" s="38">
        <f>ROUND(F355*D355,2)</f>
        <v>11388.58</v>
      </c>
      <c r="H355" s="30" t="s">
        <v>396</v>
      </c>
      <c r="I355" s="40" t="s">
        <v>120</v>
      </c>
      <c r="J355" s="41"/>
      <c r="L355" s="42">
        <f t="shared" si="18"/>
        <v>11388.5811</v>
      </c>
      <c r="M355" s="32">
        <f t="shared" si="17"/>
        <v>9268.298999999999</v>
      </c>
    </row>
    <row r="356" spans="1:13" s="32" customFormat="1" ht="110.25">
      <c r="A356" s="87"/>
      <c r="B356" s="44" t="s">
        <v>397</v>
      </c>
      <c r="C356" s="36"/>
      <c r="D356" s="55"/>
      <c r="E356" s="37"/>
      <c r="F356" s="37"/>
      <c r="G356" s="38"/>
      <c r="H356" s="30"/>
      <c r="I356" s="40"/>
      <c r="J356" s="41"/>
      <c r="L356" s="42">
        <f t="shared" si="18"/>
        <v>0</v>
      </c>
      <c r="M356" s="32">
        <f t="shared" si="17"/>
        <v>0</v>
      </c>
    </row>
    <row r="357" spans="1:13" s="32" customFormat="1" ht="18.75">
      <c r="A357" s="87"/>
      <c r="B357" s="51"/>
      <c r="C357" s="36"/>
      <c r="D357" s="55"/>
      <c r="E357" s="37"/>
      <c r="F357" s="37"/>
      <c r="G357" s="38"/>
      <c r="H357" s="30"/>
      <c r="I357" s="40"/>
      <c r="J357" s="41"/>
      <c r="L357" s="168">
        <f>SUM(L349:L356)</f>
        <v>11743.3262</v>
      </c>
      <c r="M357" s="32">
        <f t="shared" si="17"/>
        <v>0</v>
      </c>
    </row>
    <row r="358" spans="1:13" s="32" customFormat="1" ht="18" customHeight="1">
      <c r="A358" s="88"/>
      <c r="B358" s="89"/>
      <c r="C358" s="177" t="s">
        <v>35</v>
      </c>
      <c r="D358" s="177"/>
      <c r="E358" s="177"/>
      <c r="F358" s="147"/>
      <c r="G358" s="53">
        <f>SUM(G350:G357)</f>
        <v>11743.33</v>
      </c>
      <c r="H358" s="30"/>
      <c r="I358" s="40"/>
      <c r="J358" s="41"/>
      <c r="L358" s="42"/>
      <c r="M358" s="32">
        <f t="shared" si="17"/>
        <v>0</v>
      </c>
    </row>
    <row r="359" spans="1:13" s="32" customFormat="1" ht="18.75">
      <c r="A359" s="24">
        <v>180000</v>
      </c>
      <c r="B359" s="25" t="s">
        <v>398</v>
      </c>
      <c r="C359" s="68"/>
      <c r="D359" s="69"/>
      <c r="E359" s="28"/>
      <c r="F359" s="71"/>
      <c r="G359" s="38"/>
      <c r="H359" s="30"/>
      <c r="I359" s="40"/>
      <c r="J359" s="41"/>
      <c r="L359" s="42"/>
      <c r="M359" s="32">
        <f t="shared" si="17"/>
        <v>0</v>
      </c>
    </row>
    <row r="360" spans="1:13" s="32" customFormat="1" ht="18.75">
      <c r="A360" s="34">
        <v>180100</v>
      </c>
      <c r="B360" s="70" t="s">
        <v>399</v>
      </c>
      <c r="C360" s="64"/>
      <c r="D360" s="55"/>
      <c r="E360" s="37"/>
      <c r="F360" s="37"/>
      <c r="G360" s="38"/>
      <c r="H360" s="30"/>
      <c r="I360" s="40"/>
      <c r="J360" s="41"/>
      <c r="L360" s="42"/>
      <c r="M360" s="32">
        <f t="shared" si="17"/>
        <v>0</v>
      </c>
    </row>
    <row r="361" spans="1:13" s="32" customFormat="1" ht="18.75">
      <c r="A361" s="43"/>
      <c r="B361" s="51"/>
      <c r="C361" s="36"/>
      <c r="D361" s="55"/>
      <c r="E361" s="37"/>
      <c r="F361" s="37"/>
      <c r="G361" s="38"/>
      <c r="H361" s="30"/>
      <c r="I361" s="40"/>
      <c r="J361" s="41"/>
      <c r="L361" s="42"/>
      <c r="M361" s="32">
        <f t="shared" si="17"/>
        <v>0</v>
      </c>
    </row>
    <row r="362" spans="1:13" s="32" customFormat="1" ht="18.75">
      <c r="A362" s="43"/>
      <c r="B362" s="44"/>
      <c r="C362" s="36"/>
      <c r="D362" s="55"/>
      <c r="E362" s="37"/>
      <c r="F362" s="37"/>
      <c r="G362" s="38"/>
      <c r="H362" s="30"/>
      <c r="I362" s="40"/>
      <c r="J362" s="41"/>
      <c r="L362" s="42">
        <f>D362*F362</f>
        <v>0</v>
      </c>
      <c r="M362" s="32">
        <f t="shared" si="17"/>
        <v>0</v>
      </c>
    </row>
    <row r="363" spans="1:13" s="32" customFormat="1" ht="18.75">
      <c r="A363" s="43" t="s">
        <v>400</v>
      </c>
      <c r="B363" s="51" t="s">
        <v>401</v>
      </c>
      <c r="C363" s="36" t="s">
        <v>15</v>
      </c>
      <c r="D363" s="55">
        <f>1*0.2*2</f>
        <v>0.4</v>
      </c>
      <c r="E363" s="37">
        <v>211.48</v>
      </c>
      <c r="F363" s="37">
        <f>ROUND(E363*1.2288,2)</f>
        <v>259.87</v>
      </c>
      <c r="G363" s="38">
        <f>ROUND(F363*D363,2)</f>
        <v>103.95</v>
      </c>
      <c r="H363" s="30" t="s">
        <v>402</v>
      </c>
      <c r="I363" s="40" t="s">
        <v>195</v>
      </c>
      <c r="J363" s="41"/>
      <c r="L363" s="42">
        <f>D363*F363</f>
        <v>103.94800000000001</v>
      </c>
      <c r="M363" s="32">
        <f t="shared" si="17"/>
        <v>84.592</v>
      </c>
    </row>
    <row r="364" spans="1:13" s="32" customFormat="1" ht="78.75">
      <c r="A364" s="43"/>
      <c r="B364" s="44" t="s">
        <v>403</v>
      </c>
      <c r="C364" s="36"/>
      <c r="D364" s="55"/>
      <c r="E364" s="37"/>
      <c r="F364" s="37"/>
      <c r="G364" s="38"/>
      <c r="H364" s="30"/>
      <c r="I364" s="40"/>
      <c r="J364" s="41"/>
      <c r="L364" s="42">
        <f>D364*F364</f>
        <v>0</v>
      </c>
      <c r="M364" s="32">
        <f t="shared" si="17"/>
        <v>0</v>
      </c>
    </row>
    <row r="365" spans="1:13" s="32" customFormat="1" ht="18.75">
      <c r="A365" s="43"/>
      <c r="B365" s="44"/>
      <c r="C365" s="36"/>
      <c r="D365" s="55"/>
      <c r="E365" s="37"/>
      <c r="F365" s="37"/>
      <c r="G365" s="38"/>
      <c r="H365" s="30"/>
      <c r="I365" s="40"/>
      <c r="J365" s="41"/>
      <c r="L365" s="42">
        <f>D365*F365</f>
        <v>0</v>
      </c>
      <c r="M365" s="32">
        <f t="shared" si="17"/>
        <v>0</v>
      </c>
    </row>
    <row r="366" spans="1:13" s="72" customFormat="1" ht="18.75">
      <c r="A366" s="43"/>
      <c r="B366" s="44"/>
      <c r="C366" s="36"/>
      <c r="D366" s="55"/>
      <c r="E366" s="71"/>
      <c r="F366" s="71"/>
      <c r="G366" s="38"/>
      <c r="H366" s="30"/>
      <c r="I366" s="40"/>
      <c r="J366" s="41"/>
      <c r="L366" s="42">
        <f>D366*F366</f>
        <v>0</v>
      </c>
      <c r="M366" s="32">
        <f t="shared" si="17"/>
        <v>0</v>
      </c>
    </row>
    <row r="367" spans="1:13" s="32" customFormat="1" ht="18.75">
      <c r="A367" s="43"/>
      <c r="B367" s="44"/>
      <c r="C367" s="36"/>
      <c r="D367" s="55"/>
      <c r="E367" s="37"/>
      <c r="F367" s="37"/>
      <c r="G367" s="38"/>
      <c r="H367" s="30"/>
      <c r="I367" s="40"/>
      <c r="J367" s="41"/>
      <c r="L367" s="168">
        <f>G368</f>
        <v>103.95</v>
      </c>
      <c r="M367" s="32">
        <f t="shared" si="17"/>
        <v>0</v>
      </c>
    </row>
    <row r="368" spans="1:13" s="32" customFormat="1" ht="18.75" customHeight="1">
      <c r="A368" s="73"/>
      <c r="B368" s="56"/>
      <c r="C368" s="177" t="s">
        <v>35</v>
      </c>
      <c r="D368" s="177"/>
      <c r="E368" s="177"/>
      <c r="F368" s="147"/>
      <c r="G368" s="53">
        <f>SUM(G361:G367)</f>
        <v>103.95</v>
      </c>
      <c r="H368" s="30"/>
      <c r="I368" s="40"/>
      <c r="J368" s="41"/>
      <c r="L368" s="42"/>
      <c r="M368" s="32">
        <f t="shared" si="17"/>
        <v>0</v>
      </c>
    </row>
    <row r="369" spans="1:13" s="32" customFormat="1" ht="18.75">
      <c r="A369" s="24">
        <v>200000</v>
      </c>
      <c r="B369" s="90" t="s">
        <v>404</v>
      </c>
      <c r="C369" s="68"/>
      <c r="D369" s="69"/>
      <c r="E369" s="28"/>
      <c r="F369" s="71"/>
      <c r="G369" s="38"/>
      <c r="H369" s="30"/>
      <c r="I369" s="40"/>
      <c r="J369" s="41"/>
      <c r="L369" s="42"/>
      <c r="M369" s="32">
        <f t="shared" si="17"/>
        <v>0</v>
      </c>
    </row>
    <row r="370" spans="1:13" s="32" customFormat="1" ht="18.75">
      <c r="A370" s="91">
        <v>200100</v>
      </c>
      <c r="B370" s="70" t="s">
        <v>116</v>
      </c>
      <c r="C370" s="92"/>
      <c r="D370" s="55"/>
      <c r="E370" s="37"/>
      <c r="F370" s="37"/>
      <c r="G370" s="38"/>
      <c r="H370" s="30"/>
      <c r="I370" s="40"/>
      <c r="J370" s="41"/>
      <c r="L370" s="42"/>
      <c r="M370" s="32">
        <f t="shared" si="17"/>
        <v>0</v>
      </c>
    </row>
    <row r="371" spans="1:13" s="32" customFormat="1" ht="18.75">
      <c r="A371" s="43"/>
      <c r="B371" s="44"/>
      <c r="C371" s="64"/>
      <c r="D371" s="55"/>
      <c r="E371" s="37"/>
      <c r="F371" s="37"/>
      <c r="G371" s="38"/>
      <c r="H371" s="30"/>
      <c r="I371" s="40"/>
      <c r="J371" s="41"/>
      <c r="L371" s="42"/>
      <c r="M371" s="32">
        <f t="shared" si="17"/>
        <v>0</v>
      </c>
    </row>
    <row r="372" spans="1:13" s="32" customFormat="1" ht="31.5">
      <c r="A372" s="87">
        <v>200105</v>
      </c>
      <c r="B372" s="51" t="s">
        <v>405</v>
      </c>
      <c r="C372" s="36" t="s">
        <v>26</v>
      </c>
      <c r="D372" s="153">
        <v>294.03</v>
      </c>
      <c r="E372" s="37">
        <v>18.84</v>
      </c>
      <c r="F372" s="37">
        <f>ROUND(E372*1.2288,2)</f>
        <v>23.15</v>
      </c>
      <c r="G372" s="38">
        <f>ROUND(F372*D372,2)</f>
        <v>6806.79</v>
      </c>
      <c r="H372" s="30" t="s">
        <v>406</v>
      </c>
      <c r="I372" s="40" t="s">
        <v>407</v>
      </c>
      <c r="J372" s="41"/>
      <c r="L372" s="42">
        <f aca="true" t="shared" si="19" ref="L372:L409">D372*F372</f>
        <v>6806.794499999999</v>
      </c>
      <c r="M372" s="32">
        <f t="shared" si="17"/>
        <v>5539.525199999999</v>
      </c>
    </row>
    <row r="373" spans="1:13" s="32" customFormat="1" ht="94.5">
      <c r="A373" s="87"/>
      <c r="B373" s="44" t="s">
        <v>408</v>
      </c>
      <c r="C373" s="36"/>
      <c r="D373" s="55"/>
      <c r="E373" s="37"/>
      <c r="F373" s="37"/>
      <c r="G373" s="38"/>
      <c r="H373" s="30"/>
      <c r="I373" s="40"/>
      <c r="J373" s="41"/>
      <c r="L373" s="42">
        <f t="shared" si="19"/>
        <v>0</v>
      </c>
      <c r="M373" s="32">
        <f t="shared" si="17"/>
        <v>0</v>
      </c>
    </row>
    <row r="374" spans="1:13" s="32" customFormat="1" ht="18.75">
      <c r="A374" s="87"/>
      <c r="B374" s="44"/>
      <c r="C374" s="36"/>
      <c r="D374" s="55"/>
      <c r="E374" s="37"/>
      <c r="F374" s="37"/>
      <c r="G374" s="38"/>
      <c r="H374" s="30"/>
      <c r="I374" s="40"/>
      <c r="J374" s="41"/>
      <c r="L374" s="42">
        <f t="shared" si="19"/>
        <v>0</v>
      </c>
      <c r="M374" s="32">
        <f t="shared" si="17"/>
        <v>0</v>
      </c>
    </row>
    <row r="375" spans="1:13" s="32" customFormat="1" ht="31.5">
      <c r="A375" s="87">
        <v>200106</v>
      </c>
      <c r="B375" s="93" t="s">
        <v>409</v>
      </c>
      <c r="C375" s="36" t="s">
        <v>98</v>
      </c>
      <c r="D375" s="55">
        <v>180</v>
      </c>
      <c r="E375" s="37">
        <v>3.89</v>
      </c>
      <c r="F375" s="37">
        <f>ROUND(E375*1.2288,2)</f>
        <v>4.78</v>
      </c>
      <c r="G375" s="38">
        <f>ROUND(F375*D375,2)</f>
        <v>860.4</v>
      </c>
      <c r="H375" s="30">
        <v>180</v>
      </c>
      <c r="I375" s="40" t="s">
        <v>407</v>
      </c>
      <c r="J375" s="41"/>
      <c r="L375" s="42">
        <f t="shared" si="19"/>
        <v>860.4000000000001</v>
      </c>
      <c r="M375" s="32">
        <f t="shared" si="17"/>
        <v>700.2</v>
      </c>
    </row>
    <row r="376" spans="1:13" s="32" customFormat="1" ht="78.75">
      <c r="A376" s="87"/>
      <c r="B376" s="94" t="s">
        <v>410</v>
      </c>
      <c r="C376" s="36"/>
      <c r="D376" s="55"/>
      <c r="E376" s="37"/>
      <c r="F376" s="37"/>
      <c r="G376" s="38"/>
      <c r="H376" s="30"/>
      <c r="I376" s="40"/>
      <c r="J376" s="41"/>
      <c r="L376" s="42">
        <f t="shared" si="19"/>
        <v>0</v>
      </c>
      <c r="M376" s="32">
        <f t="shared" si="17"/>
        <v>0</v>
      </c>
    </row>
    <row r="377" spans="1:13" s="32" customFormat="1" ht="18.75">
      <c r="A377" s="87"/>
      <c r="B377" s="94"/>
      <c r="C377" s="36"/>
      <c r="D377" s="55"/>
      <c r="E377" s="37"/>
      <c r="F377" s="37"/>
      <c r="G377" s="38"/>
      <c r="H377" s="30"/>
      <c r="I377" s="40"/>
      <c r="J377" s="41"/>
      <c r="L377" s="42">
        <f t="shared" si="19"/>
        <v>0</v>
      </c>
      <c r="M377" s="32">
        <f t="shared" si="17"/>
        <v>0</v>
      </c>
    </row>
    <row r="378" spans="1:13" s="32" customFormat="1" ht="18.75">
      <c r="A378" s="87">
        <v>200200</v>
      </c>
      <c r="B378" s="95" t="s">
        <v>411</v>
      </c>
      <c r="C378" s="36"/>
      <c r="D378" s="55"/>
      <c r="E378" s="37"/>
      <c r="F378" s="37"/>
      <c r="G378" s="38"/>
      <c r="H378" s="30"/>
      <c r="I378" s="40"/>
      <c r="J378" s="41"/>
      <c r="L378" s="42">
        <f t="shared" si="19"/>
        <v>0</v>
      </c>
      <c r="M378" s="32">
        <f t="shared" si="17"/>
        <v>0</v>
      </c>
    </row>
    <row r="379" spans="1:13" s="32" customFormat="1" ht="315">
      <c r="A379" s="87"/>
      <c r="B379" s="44" t="s">
        <v>412</v>
      </c>
      <c r="C379" s="36"/>
      <c r="D379" s="55"/>
      <c r="E379" s="37"/>
      <c r="F379" s="37"/>
      <c r="G379" s="38"/>
      <c r="H379" s="30"/>
      <c r="I379" s="40"/>
      <c r="J379" s="41"/>
      <c r="L379" s="42">
        <f t="shared" si="19"/>
        <v>0</v>
      </c>
      <c r="M379" s="32">
        <f t="shared" si="17"/>
        <v>0</v>
      </c>
    </row>
    <row r="380" spans="1:13" s="32" customFormat="1" ht="18.75">
      <c r="A380" s="87"/>
      <c r="B380" s="95"/>
      <c r="C380" s="36"/>
      <c r="D380" s="55"/>
      <c r="E380" s="37"/>
      <c r="F380" s="37"/>
      <c r="G380" s="38"/>
      <c r="H380" s="30"/>
      <c r="I380" s="40"/>
      <c r="J380" s="41"/>
      <c r="L380" s="42">
        <f t="shared" si="19"/>
        <v>0</v>
      </c>
      <c r="M380" s="32">
        <f t="shared" si="17"/>
        <v>0</v>
      </c>
    </row>
    <row r="381" spans="1:13" s="32" customFormat="1" ht="31.5">
      <c r="A381" s="43" t="s">
        <v>413</v>
      </c>
      <c r="B381" s="51" t="s">
        <v>414</v>
      </c>
      <c r="C381" s="36" t="s">
        <v>98</v>
      </c>
      <c r="D381" s="154">
        <v>10.24</v>
      </c>
      <c r="E381" s="37">
        <v>147.73</v>
      </c>
      <c r="F381" s="37">
        <f>ROUND(E381*1.2288,2)</f>
        <v>181.53</v>
      </c>
      <c r="G381" s="38">
        <f>ROUND(F381*D381,2)</f>
        <v>1858.87</v>
      </c>
      <c r="H381" s="30">
        <v>10.24</v>
      </c>
      <c r="I381" s="40" t="s">
        <v>415</v>
      </c>
      <c r="J381" s="41"/>
      <c r="L381" s="42">
        <f t="shared" si="19"/>
        <v>1858.8672000000001</v>
      </c>
      <c r="M381" s="32">
        <f t="shared" si="17"/>
        <v>1512.7551999999998</v>
      </c>
    </row>
    <row r="382" spans="1:13" s="32" customFormat="1" ht="18.75">
      <c r="A382" s="43"/>
      <c r="B382" s="44"/>
      <c r="C382" s="36"/>
      <c r="D382" s="55"/>
      <c r="E382" s="37"/>
      <c r="F382" s="37"/>
      <c r="G382" s="38"/>
      <c r="H382" s="30"/>
      <c r="I382" s="40"/>
      <c r="J382" s="41"/>
      <c r="L382" s="42">
        <f t="shared" si="19"/>
        <v>0</v>
      </c>
      <c r="M382" s="32">
        <f t="shared" si="17"/>
        <v>0</v>
      </c>
    </row>
    <row r="383" spans="1:13" s="32" customFormat="1" ht="47.25">
      <c r="A383" s="43" t="s">
        <v>416</v>
      </c>
      <c r="B383" s="51" t="s">
        <v>417</v>
      </c>
      <c r="C383" s="36" t="s">
        <v>98</v>
      </c>
      <c r="D383" s="153">
        <f>(28-4.7)*2+18+21.62*2-3.9-4.5+3.75+1.66</f>
        <v>104.85</v>
      </c>
      <c r="E383" s="37">
        <v>247.86</v>
      </c>
      <c r="F383" s="37">
        <f>ROUND(E383*1.2288,2)</f>
        <v>304.57</v>
      </c>
      <c r="G383" s="38">
        <f>ROUND(F383*D383,2)</f>
        <v>31934.16</v>
      </c>
      <c r="H383" s="30" t="s">
        <v>418</v>
      </c>
      <c r="I383" s="40" t="s">
        <v>419</v>
      </c>
      <c r="J383" s="41"/>
      <c r="L383" s="42">
        <f t="shared" si="19"/>
        <v>31934.1645</v>
      </c>
      <c r="M383" s="32">
        <f t="shared" si="17"/>
        <v>25988.121</v>
      </c>
    </row>
    <row r="384" spans="1:13" s="32" customFormat="1" ht="18.75">
      <c r="A384" s="43"/>
      <c r="B384" s="44"/>
      <c r="C384" s="36"/>
      <c r="D384" s="55"/>
      <c r="E384" s="37"/>
      <c r="F384" s="37"/>
      <c r="G384" s="38"/>
      <c r="H384" s="39"/>
      <c r="I384" s="40"/>
      <c r="J384" s="41"/>
      <c r="L384" s="42">
        <f t="shared" si="19"/>
        <v>0</v>
      </c>
      <c r="M384" s="32">
        <f t="shared" si="17"/>
        <v>0</v>
      </c>
    </row>
    <row r="385" spans="1:13" s="32" customFormat="1" ht="18.75">
      <c r="A385" s="43"/>
      <c r="B385" s="44"/>
      <c r="C385" s="36"/>
      <c r="D385" s="55"/>
      <c r="E385" s="37"/>
      <c r="F385" s="37"/>
      <c r="G385" s="38"/>
      <c r="H385" s="30"/>
      <c r="I385" s="40"/>
      <c r="J385" s="41"/>
      <c r="L385" s="42">
        <f t="shared" si="19"/>
        <v>0</v>
      </c>
      <c r="M385" s="32">
        <f t="shared" si="17"/>
        <v>0</v>
      </c>
    </row>
    <row r="386" spans="1:13" s="32" customFormat="1" ht="18.75">
      <c r="A386" s="43" t="s">
        <v>420</v>
      </c>
      <c r="B386" s="51" t="s">
        <v>421</v>
      </c>
      <c r="C386" s="36" t="s">
        <v>15</v>
      </c>
      <c r="D386" s="155">
        <f>1.5*3.5*3+3*1.3*2.5+4.05*2.5*2</f>
        <v>45.75</v>
      </c>
      <c r="E386" s="37">
        <v>351.33</v>
      </c>
      <c r="F386" s="37">
        <f>ROUND(E386*1.2288,2)</f>
        <v>431.71</v>
      </c>
      <c r="G386" s="38">
        <f>ROUND(F386*D386,2)</f>
        <v>19750.73</v>
      </c>
      <c r="H386" s="40" t="s">
        <v>422</v>
      </c>
      <c r="J386" s="41"/>
      <c r="L386" s="42">
        <f t="shared" si="19"/>
        <v>19750.7325</v>
      </c>
      <c r="M386" s="32">
        <f t="shared" si="17"/>
        <v>16073.3475</v>
      </c>
    </row>
    <row r="387" spans="1:13" s="32" customFormat="1" ht="141.75">
      <c r="A387" s="43"/>
      <c r="B387" s="44" t="s">
        <v>423</v>
      </c>
      <c r="C387" s="36"/>
      <c r="D387" s="55"/>
      <c r="E387" s="37"/>
      <c r="F387" s="37"/>
      <c r="G387" s="38"/>
      <c r="H387" s="30"/>
      <c r="I387" s="40"/>
      <c r="J387" s="41"/>
      <c r="L387" s="42">
        <f t="shared" si="19"/>
        <v>0</v>
      </c>
      <c r="M387" s="32">
        <f t="shared" si="17"/>
        <v>0</v>
      </c>
    </row>
    <row r="388" spans="1:13" s="32" customFormat="1" ht="18.75">
      <c r="A388" s="43"/>
      <c r="B388" s="44"/>
      <c r="C388" s="36"/>
      <c r="D388" s="55"/>
      <c r="E388" s="37"/>
      <c r="F388" s="37"/>
      <c r="G388" s="38"/>
      <c r="H388" s="30"/>
      <c r="I388" s="40"/>
      <c r="J388" s="41"/>
      <c r="L388" s="42">
        <f t="shared" si="19"/>
        <v>0</v>
      </c>
      <c r="M388" s="32">
        <f t="shared" si="17"/>
        <v>0</v>
      </c>
    </row>
    <row r="389" spans="1:13" s="32" customFormat="1" ht="18.75">
      <c r="A389" s="43" t="s">
        <v>424</v>
      </c>
      <c r="B389" s="63" t="s">
        <v>425</v>
      </c>
      <c r="C389" s="36"/>
      <c r="D389" s="55"/>
      <c r="E389" s="37"/>
      <c r="F389" s="37"/>
      <c r="G389" s="38"/>
      <c r="H389" s="30"/>
      <c r="I389" s="40"/>
      <c r="J389" s="41"/>
      <c r="L389" s="42">
        <f t="shared" si="19"/>
        <v>0</v>
      </c>
      <c r="M389" s="32">
        <f t="shared" si="17"/>
        <v>0</v>
      </c>
    </row>
    <row r="390" spans="1:13" s="32" customFormat="1" ht="18.75">
      <c r="A390" s="43" t="s">
        <v>426</v>
      </c>
      <c r="B390" s="51" t="s">
        <v>427</v>
      </c>
      <c r="C390" s="36" t="s">
        <v>428</v>
      </c>
      <c r="D390" s="55">
        <v>1</v>
      </c>
      <c r="E390" s="71">
        <v>4376.12</v>
      </c>
      <c r="F390" s="37">
        <f>ROUND(E390*1.2288,2)</f>
        <v>5377.38</v>
      </c>
      <c r="G390" s="38">
        <f>ROUND(F390*D390,2)</f>
        <v>5377.38</v>
      </c>
      <c r="H390" s="30">
        <v>1</v>
      </c>
      <c r="I390" s="40"/>
      <c r="J390" s="41"/>
      <c r="L390" s="42">
        <f t="shared" si="19"/>
        <v>5377.38</v>
      </c>
      <c r="M390" s="32">
        <f t="shared" si="17"/>
        <v>4376.12</v>
      </c>
    </row>
    <row r="391" spans="1:13" s="32" customFormat="1" ht="366" customHeight="1">
      <c r="A391" s="96"/>
      <c r="B391" s="44" t="s">
        <v>429</v>
      </c>
      <c r="C391" s="97"/>
      <c r="D391" s="55"/>
      <c r="E391" s="37"/>
      <c r="F391" s="37"/>
      <c r="G391" s="38"/>
      <c r="H391" s="30"/>
      <c r="I391" s="40"/>
      <c r="J391" s="41"/>
      <c r="L391" s="42">
        <f t="shared" si="19"/>
        <v>0</v>
      </c>
      <c r="M391" s="32">
        <f t="shared" si="17"/>
        <v>0</v>
      </c>
    </row>
    <row r="392" spans="1:13" s="32" customFormat="1" ht="18.75">
      <c r="A392" s="43"/>
      <c r="B392" s="44"/>
      <c r="C392" s="36"/>
      <c r="D392" s="55"/>
      <c r="E392" s="37"/>
      <c r="F392" s="37"/>
      <c r="G392" s="38"/>
      <c r="H392" s="30"/>
      <c r="I392" s="40"/>
      <c r="J392" s="41"/>
      <c r="L392" s="42">
        <f t="shared" si="19"/>
        <v>0</v>
      </c>
      <c r="M392" s="32">
        <f aca="true" t="shared" si="20" ref="M392:M447">D392*E392</f>
        <v>0</v>
      </c>
    </row>
    <row r="393" spans="1:13" s="32" customFormat="1" ht="18.75">
      <c r="A393" s="43" t="s">
        <v>430</v>
      </c>
      <c r="B393" s="51" t="s">
        <v>431</v>
      </c>
      <c r="C393" s="36" t="s">
        <v>83</v>
      </c>
      <c r="D393" s="55">
        <f>(18.6+3.02)*(11.2+1.2+1.2)*0.05</f>
        <v>14.7016</v>
      </c>
      <c r="E393" s="37">
        <v>116.26</v>
      </c>
      <c r="F393" s="37">
        <f>ROUND(E393*1.2288,2)</f>
        <v>142.86</v>
      </c>
      <c r="G393" s="38">
        <f>ROUND(F393*D393,2)</f>
        <v>2100.27</v>
      </c>
      <c r="H393" s="30" t="s">
        <v>432</v>
      </c>
      <c r="I393" s="40" t="s">
        <v>433</v>
      </c>
      <c r="J393" s="41"/>
      <c r="L393" s="42">
        <f t="shared" si="19"/>
        <v>2100.270576</v>
      </c>
      <c r="M393" s="32">
        <f t="shared" si="20"/>
        <v>1709.208016</v>
      </c>
    </row>
    <row r="394" spans="1:13" s="32" customFormat="1" ht="78.75">
      <c r="A394" s="43"/>
      <c r="B394" s="44" t="s">
        <v>434</v>
      </c>
      <c r="C394" s="36"/>
      <c r="D394" s="55"/>
      <c r="E394" s="37"/>
      <c r="F394" s="37"/>
      <c r="G394" s="38"/>
      <c r="H394" s="30"/>
      <c r="I394" s="40"/>
      <c r="J394" s="41"/>
      <c r="L394" s="42">
        <f t="shared" si="19"/>
        <v>0</v>
      </c>
      <c r="M394" s="32">
        <f t="shared" si="20"/>
        <v>0</v>
      </c>
    </row>
    <row r="395" spans="1:13" s="32" customFormat="1" ht="18.75">
      <c r="A395" s="43"/>
      <c r="B395" s="44"/>
      <c r="C395" s="36"/>
      <c r="D395" s="55"/>
      <c r="E395" s="37"/>
      <c r="F395" s="37"/>
      <c r="G395" s="38"/>
      <c r="H395" s="30"/>
      <c r="I395" s="40"/>
      <c r="J395" s="41"/>
      <c r="L395" s="42">
        <f t="shared" si="19"/>
        <v>0</v>
      </c>
      <c r="M395" s="32">
        <f t="shared" si="20"/>
        <v>0</v>
      </c>
    </row>
    <row r="396" spans="1:13" s="32" customFormat="1" ht="18.75">
      <c r="A396" s="43"/>
      <c r="B396" s="44"/>
      <c r="C396" s="36"/>
      <c r="D396" s="55"/>
      <c r="E396" s="37"/>
      <c r="F396" s="37"/>
      <c r="G396" s="38"/>
      <c r="H396" s="30"/>
      <c r="I396" s="40"/>
      <c r="J396" s="41"/>
      <c r="L396" s="42">
        <f t="shared" si="19"/>
        <v>0</v>
      </c>
      <c r="M396" s="32">
        <f t="shared" si="20"/>
        <v>0</v>
      </c>
    </row>
    <row r="397" spans="1:13" s="32" customFormat="1" ht="37.5">
      <c r="A397" s="43" t="s">
        <v>435</v>
      </c>
      <c r="B397" s="51" t="s">
        <v>436</v>
      </c>
      <c r="C397" s="36" t="s">
        <v>68</v>
      </c>
      <c r="D397" s="154">
        <v>646.87</v>
      </c>
      <c r="E397" s="37">
        <v>19.14</v>
      </c>
      <c r="F397" s="37">
        <f>ROUND(E397*1.2288,2)</f>
        <v>23.52</v>
      </c>
      <c r="G397" s="38">
        <f>ROUND(F397*D397,2)</f>
        <v>15214.38</v>
      </c>
      <c r="H397" s="55" t="s">
        <v>437</v>
      </c>
      <c r="I397" s="40" t="s">
        <v>438</v>
      </c>
      <c r="J397" s="41"/>
      <c r="L397" s="42">
        <f t="shared" si="19"/>
        <v>15214.3824</v>
      </c>
      <c r="M397" s="32">
        <f t="shared" si="20"/>
        <v>12381.0918</v>
      </c>
    </row>
    <row r="398" spans="1:13" s="32" customFormat="1" ht="78.75">
      <c r="A398" s="43"/>
      <c r="B398" s="44" t="s">
        <v>439</v>
      </c>
      <c r="C398" s="36"/>
      <c r="D398" s="55"/>
      <c r="E398" s="37"/>
      <c r="F398" s="37"/>
      <c r="G398" s="38"/>
      <c r="H398" s="30"/>
      <c r="I398" s="40"/>
      <c r="J398" s="41"/>
      <c r="L398" s="42">
        <f t="shared" si="19"/>
        <v>0</v>
      </c>
      <c r="M398" s="32">
        <f t="shared" si="20"/>
        <v>0</v>
      </c>
    </row>
    <row r="399" spans="1:13" s="32" customFormat="1" ht="18.75">
      <c r="A399" s="43"/>
      <c r="B399" s="44"/>
      <c r="C399" s="36"/>
      <c r="D399" s="55"/>
      <c r="E399" s="37"/>
      <c r="F399" s="37"/>
      <c r="G399" s="38"/>
      <c r="H399" s="30"/>
      <c r="I399" s="40"/>
      <c r="J399" s="41"/>
      <c r="L399" s="42">
        <f t="shared" si="19"/>
        <v>0</v>
      </c>
      <c r="M399" s="32">
        <f t="shared" si="20"/>
        <v>0</v>
      </c>
    </row>
    <row r="400" spans="1:13" s="32" customFormat="1" ht="47.25">
      <c r="A400" s="43" t="s">
        <v>440</v>
      </c>
      <c r="B400" s="51" t="s">
        <v>441</v>
      </c>
      <c r="C400" s="36" t="s">
        <v>83</v>
      </c>
      <c r="D400" s="153">
        <v>23.52</v>
      </c>
      <c r="E400" s="37">
        <v>546.17</v>
      </c>
      <c r="F400" s="37">
        <f>ROUND(E400*1.2288,2)</f>
        <v>671.13</v>
      </c>
      <c r="G400" s="38">
        <f>ROUND(F400*D400,2)</f>
        <v>15784.98</v>
      </c>
      <c r="H400" s="30" t="s">
        <v>442</v>
      </c>
      <c r="I400" s="40" t="s">
        <v>443</v>
      </c>
      <c r="J400" s="41"/>
      <c r="L400" s="42">
        <f t="shared" si="19"/>
        <v>15784.9776</v>
      </c>
      <c r="M400" s="32">
        <f t="shared" si="20"/>
        <v>12845.918399999999</v>
      </c>
    </row>
    <row r="401" spans="1:13" s="32" customFormat="1" ht="141.75" customHeight="1">
      <c r="A401" s="43"/>
      <c r="B401" s="44" t="s">
        <v>444</v>
      </c>
      <c r="C401" s="36"/>
      <c r="D401" s="55"/>
      <c r="E401" s="37"/>
      <c r="F401" s="37"/>
      <c r="G401" s="38"/>
      <c r="H401" s="40"/>
      <c r="I401" s="40"/>
      <c r="J401" s="41"/>
      <c r="K401" s="165"/>
      <c r="L401" s="42">
        <f t="shared" si="19"/>
        <v>0</v>
      </c>
      <c r="M401" s="32">
        <f t="shared" si="20"/>
        <v>0</v>
      </c>
    </row>
    <row r="402" spans="1:14" s="32" customFormat="1" ht="141.75" customHeight="1">
      <c r="A402" s="43" t="s">
        <v>445</v>
      </c>
      <c r="B402" s="51" t="s">
        <v>446</v>
      </c>
      <c r="C402" s="36" t="s">
        <v>15</v>
      </c>
      <c r="D402" s="152">
        <v>514.61</v>
      </c>
      <c r="E402" s="37">
        <v>20</v>
      </c>
      <c r="F402" s="37">
        <f>ROUND(E402*1.2288,2)</f>
        <v>24.58</v>
      </c>
      <c r="G402" s="38">
        <f>ROUND(F402*D402,2)</f>
        <v>12649.11</v>
      </c>
      <c r="H402" s="40" t="s">
        <v>447</v>
      </c>
      <c r="I402" s="40" t="s">
        <v>448</v>
      </c>
      <c r="J402" s="41"/>
      <c r="K402" s="81"/>
      <c r="L402" s="42">
        <f t="shared" si="19"/>
        <v>12649.1138</v>
      </c>
      <c r="M402" s="32">
        <f t="shared" si="20"/>
        <v>10292.2</v>
      </c>
      <c r="N402" s="81"/>
    </row>
    <row r="403" spans="1:13" s="32" customFormat="1" ht="47.25">
      <c r="A403" s="43"/>
      <c r="B403" s="44" t="s">
        <v>449</v>
      </c>
      <c r="C403" s="36"/>
      <c r="D403" s="55"/>
      <c r="E403" s="37"/>
      <c r="F403" s="37"/>
      <c r="G403" s="38"/>
      <c r="H403" s="30"/>
      <c r="I403" s="40"/>
      <c r="J403" s="41"/>
      <c r="L403" s="42">
        <f t="shared" si="19"/>
        <v>0</v>
      </c>
      <c r="M403" s="32">
        <f t="shared" si="20"/>
        <v>0</v>
      </c>
    </row>
    <row r="404" spans="1:13" s="32" customFormat="1" ht="18.75">
      <c r="A404" s="43"/>
      <c r="B404" s="44"/>
      <c r="C404" s="36"/>
      <c r="D404" s="55"/>
      <c r="E404" s="37"/>
      <c r="F404" s="37"/>
      <c r="G404" s="38"/>
      <c r="H404" s="30"/>
      <c r="I404" s="40"/>
      <c r="J404" s="41"/>
      <c r="L404" s="42">
        <f t="shared" si="19"/>
        <v>0</v>
      </c>
      <c r="M404" s="32">
        <f t="shared" si="20"/>
        <v>0</v>
      </c>
    </row>
    <row r="405" spans="1:13" s="32" customFormat="1" ht="31.5">
      <c r="A405" s="43" t="s">
        <v>450</v>
      </c>
      <c r="B405" s="51" t="s">
        <v>451</v>
      </c>
      <c r="C405" s="36" t="s">
        <v>15</v>
      </c>
      <c r="D405" s="55">
        <f>18*28</f>
        <v>504</v>
      </c>
      <c r="E405" s="37">
        <v>174.65</v>
      </c>
      <c r="F405" s="37">
        <f>ROUND(E405*1.2288,2)</f>
        <v>214.61</v>
      </c>
      <c r="G405" s="38">
        <f>ROUND(F405*D405,2)</f>
        <v>108163.44</v>
      </c>
      <c r="H405" s="30" t="s">
        <v>452</v>
      </c>
      <c r="I405" s="40" t="s">
        <v>17</v>
      </c>
      <c r="J405" s="41"/>
      <c r="L405" s="42">
        <f t="shared" si="19"/>
        <v>108163.44</v>
      </c>
      <c r="M405" s="32">
        <f t="shared" si="20"/>
        <v>88023.6</v>
      </c>
    </row>
    <row r="406" spans="1:13" s="32" customFormat="1" ht="167.25" customHeight="1">
      <c r="A406" s="43"/>
      <c r="B406" s="74" t="s">
        <v>453</v>
      </c>
      <c r="C406" s="36"/>
      <c r="D406" s="55"/>
      <c r="E406" s="37"/>
      <c r="F406" s="37"/>
      <c r="G406" s="38"/>
      <c r="H406" s="30"/>
      <c r="I406" s="40"/>
      <c r="J406" s="41"/>
      <c r="L406" s="42">
        <f t="shared" si="19"/>
        <v>0</v>
      </c>
      <c r="M406" s="32">
        <f t="shared" si="20"/>
        <v>0</v>
      </c>
    </row>
    <row r="407" spans="1:13" s="32" customFormat="1" ht="18.75">
      <c r="A407" s="43"/>
      <c r="B407" s="44"/>
      <c r="C407" s="36"/>
      <c r="D407" s="55"/>
      <c r="E407" s="37"/>
      <c r="F407" s="37"/>
      <c r="G407" s="38"/>
      <c r="H407" s="30"/>
      <c r="I407" s="40"/>
      <c r="J407" s="41"/>
      <c r="L407" s="42">
        <f t="shared" si="19"/>
        <v>0</v>
      </c>
      <c r="M407" s="32">
        <f t="shared" si="20"/>
        <v>0</v>
      </c>
    </row>
    <row r="408" spans="1:13" s="32" customFormat="1" ht="47.25">
      <c r="A408" s="43" t="s">
        <v>454</v>
      </c>
      <c r="B408" s="47" t="s">
        <v>455</v>
      </c>
      <c r="C408" s="36" t="s">
        <v>15</v>
      </c>
      <c r="D408" s="153">
        <v>744.74</v>
      </c>
      <c r="E408" s="37">
        <v>84.99</v>
      </c>
      <c r="F408" s="37">
        <f>ROUND(E408*1.2288,2)</f>
        <v>104.44</v>
      </c>
      <c r="G408" s="38">
        <f>ROUND(F408*D408,2)</f>
        <v>77780.65</v>
      </c>
      <c r="H408" s="30" t="s">
        <v>456</v>
      </c>
      <c r="I408" s="40" t="s">
        <v>457</v>
      </c>
      <c r="J408" s="41"/>
      <c r="L408" s="42">
        <f t="shared" si="19"/>
        <v>77780.6456</v>
      </c>
      <c r="M408" s="32">
        <f t="shared" si="20"/>
        <v>63295.4526</v>
      </c>
    </row>
    <row r="409" spans="1:13" s="32" customFormat="1" ht="94.5">
      <c r="A409" s="43"/>
      <c r="B409" s="74" t="s">
        <v>458</v>
      </c>
      <c r="C409" s="36"/>
      <c r="D409" s="55"/>
      <c r="E409" s="37"/>
      <c r="F409" s="37"/>
      <c r="G409" s="38"/>
      <c r="H409" s="30"/>
      <c r="I409" s="40"/>
      <c r="J409" s="41"/>
      <c r="L409" s="42">
        <f t="shared" si="19"/>
        <v>0</v>
      </c>
      <c r="M409" s="32">
        <f t="shared" si="20"/>
        <v>0</v>
      </c>
    </row>
    <row r="410" spans="1:13" s="32" customFormat="1" ht="18.75">
      <c r="A410" s="43"/>
      <c r="B410" s="44"/>
      <c r="C410" s="36"/>
      <c r="D410" s="55"/>
      <c r="E410" s="37"/>
      <c r="F410" s="37"/>
      <c r="G410" s="38"/>
      <c r="H410" s="30"/>
      <c r="I410" s="40"/>
      <c r="J410" s="41"/>
      <c r="L410" s="42"/>
      <c r="M410" s="32">
        <f t="shared" si="20"/>
        <v>0</v>
      </c>
    </row>
    <row r="411" spans="1:13" s="32" customFormat="1" ht="18" customHeight="1">
      <c r="A411" s="43"/>
      <c r="B411" s="56"/>
      <c r="C411" s="177" t="s">
        <v>35</v>
      </c>
      <c r="D411" s="177"/>
      <c r="E411" s="177"/>
      <c r="F411" s="147"/>
      <c r="G411" s="53">
        <f>SUM(G370:G410)</f>
        <v>298281.16000000003</v>
      </c>
      <c r="H411" s="30"/>
      <c r="I411" s="40"/>
      <c r="J411" s="41"/>
      <c r="L411" s="168">
        <f>SUM(L372:L409)</f>
        <v>298281.168676</v>
      </c>
      <c r="M411" s="32">
        <f t="shared" si="20"/>
        <v>0</v>
      </c>
    </row>
    <row r="412" spans="1:13" s="32" customFormat="1" ht="18.75">
      <c r="A412" s="24" t="s">
        <v>459</v>
      </c>
      <c r="B412" s="25" t="s">
        <v>460</v>
      </c>
      <c r="C412" s="26"/>
      <c r="D412" s="69"/>
      <c r="E412" s="28"/>
      <c r="F412" s="71"/>
      <c r="G412" s="38"/>
      <c r="H412" s="30"/>
      <c r="I412" s="40"/>
      <c r="J412" s="41"/>
      <c r="L412" s="42"/>
      <c r="M412" s="32">
        <f t="shared" si="20"/>
        <v>0</v>
      </c>
    </row>
    <row r="413" spans="1:13" s="32" customFormat="1" ht="18.75">
      <c r="A413" s="34" t="s">
        <v>461</v>
      </c>
      <c r="B413" s="70" t="s">
        <v>462</v>
      </c>
      <c r="C413" s="64"/>
      <c r="D413" s="55"/>
      <c r="E413" s="37"/>
      <c r="F413" s="37"/>
      <c r="G413" s="38"/>
      <c r="H413" s="30"/>
      <c r="I413" s="40"/>
      <c r="J413" s="41"/>
      <c r="L413" s="42">
        <f aca="true" t="shared" si="21" ref="L413:L418">D413*F413</f>
        <v>0</v>
      </c>
      <c r="M413" s="32">
        <f t="shared" si="20"/>
        <v>0</v>
      </c>
    </row>
    <row r="414" spans="1:13" s="32" customFormat="1" ht="18.75">
      <c r="A414" s="43" t="s">
        <v>463</v>
      </c>
      <c r="B414" s="51" t="s">
        <v>464</v>
      </c>
      <c r="C414" s="36" t="s">
        <v>15</v>
      </c>
      <c r="D414" s="55">
        <f>18*28</f>
        <v>504</v>
      </c>
      <c r="E414" s="37">
        <v>5.32</v>
      </c>
      <c r="F414" s="37">
        <f>ROUND(E414*1.2288,2)</f>
        <v>6.54</v>
      </c>
      <c r="G414" s="38">
        <f>ROUND(F414*D414,2)</f>
        <v>3296.16</v>
      </c>
      <c r="H414" s="30" t="s">
        <v>452</v>
      </c>
      <c r="I414" s="40"/>
      <c r="J414" s="41"/>
      <c r="L414" s="42">
        <f t="shared" si="21"/>
        <v>3296.16</v>
      </c>
      <c r="M414" s="32">
        <f t="shared" si="20"/>
        <v>2681.28</v>
      </c>
    </row>
    <row r="415" spans="1:13" s="32" customFormat="1" ht="63">
      <c r="A415" s="43"/>
      <c r="B415" s="44" t="s">
        <v>465</v>
      </c>
      <c r="C415" s="36"/>
      <c r="D415" s="55"/>
      <c r="E415" s="37"/>
      <c r="F415" s="37"/>
      <c r="G415" s="38"/>
      <c r="H415" s="30"/>
      <c r="I415" s="40"/>
      <c r="J415" s="41"/>
      <c r="L415" s="42">
        <f t="shared" si="21"/>
        <v>0</v>
      </c>
      <c r="M415" s="32">
        <f t="shared" si="20"/>
        <v>0</v>
      </c>
    </row>
    <row r="416" spans="1:13" s="32" customFormat="1" ht="18.75">
      <c r="A416" s="43"/>
      <c r="B416" s="44"/>
      <c r="C416" s="36"/>
      <c r="D416" s="55"/>
      <c r="E416" s="37"/>
      <c r="F416" s="37"/>
      <c r="G416" s="38"/>
      <c r="H416" s="30"/>
      <c r="I416" s="40"/>
      <c r="J416" s="41"/>
      <c r="L416" s="42">
        <f t="shared" si="21"/>
        <v>0</v>
      </c>
      <c r="M416" s="32">
        <f t="shared" si="20"/>
        <v>0</v>
      </c>
    </row>
    <row r="417" spans="1:13" s="32" customFormat="1" ht="18.75">
      <c r="A417" s="43"/>
      <c r="B417" s="63"/>
      <c r="C417" s="36"/>
      <c r="D417" s="62"/>
      <c r="E417" s="37"/>
      <c r="F417" s="37"/>
      <c r="G417" s="38"/>
      <c r="H417" s="30"/>
      <c r="I417" s="40"/>
      <c r="J417" s="41"/>
      <c r="L417" s="42">
        <f t="shared" si="21"/>
        <v>0</v>
      </c>
      <c r="M417" s="32">
        <f t="shared" si="20"/>
        <v>0</v>
      </c>
    </row>
    <row r="418" spans="1:13" s="32" customFormat="1" ht="18.75">
      <c r="A418" s="43" t="s">
        <v>466</v>
      </c>
      <c r="B418" s="51" t="s">
        <v>467</v>
      </c>
      <c r="C418" s="36" t="s">
        <v>83</v>
      </c>
      <c r="D418" s="55">
        <v>40</v>
      </c>
      <c r="E418" s="37">
        <v>39.4</v>
      </c>
      <c r="F418" s="37">
        <f>ROUND(E418*1.2288,2)</f>
        <v>48.41</v>
      </c>
      <c r="G418" s="38">
        <f>ROUND(F418*D418,2)</f>
        <v>1936.4</v>
      </c>
      <c r="H418" s="30">
        <v>40</v>
      </c>
      <c r="I418" s="40"/>
      <c r="J418" s="41"/>
      <c r="L418" s="42">
        <f t="shared" si="21"/>
        <v>1936.3999999999999</v>
      </c>
      <c r="M418" s="32">
        <f t="shared" si="20"/>
        <v>1576</v>
      </c>
    </row>
    <row r="419" spans="1:13" s="32" customFormat="1" ht="18.75">
      <c r="A419" s="43"/>
      <c r="B419" s="44"/>
      <c r="C419" s="36"/>
      <c r="D419" s="55"/>
      <c r="E419" s="37"/>
      <c r="F419" s="37"/>
      <c r="G419" s="38"/>
      <c r="H419" s="30"/>
      <c r="I419" s="40"/>
      <c r="J419" s="41"/>
      <c r="L419" s="168">
        <f>SUM(L414:L418)</f>
        <v>5232.5599999999995</v>
      </c>
      <c r="M419" s="32">
        <f t="shared" si="20"/>
        <v>0</v>
      </c>
    </row>
    <row r="420" spans="1:13" s="32" customFormat="1" ht="18" customHeight="1">
      <c r="A420" s="98"/>
      <c r="B420" s="99"/>
      <c r="C420" s="177" t="s">
        <v>35</v>
      </c>
      <c r="D420" s="177"/>
      <c r="E420" s="177"/>
      <c r="F420" s="147"/>
      <c r="G420" s="53">
        <f>SUM(G413:G419)</f>
        <v>5232.5599999999995</v>
      </c>
      <c r="H420" s="30"/>
      <c r="I420" s="40"/>
      <c r="J420" s="41"/>
      <c r="L420" s="42"/>
      <c r="M420" s="32">
        <f t="shared" si="20"/>
        <v>0</v>
      </c>
    </row>
    <row r="421" spans="1:13" s="32" customFormat="1" ht="18.75">
      <c r="A421" s="24" t="s">
        <v>468</v>
      </c>
      <c r="B421" s="25" t="s">
        <v>469</v>
      </c>
      <c r="C421" s="26"/>
      <c r="D421" s="69"/>
      <c r="E421" s="28"/>
      <c r="F421" s="71"/>
      <c r="G421" s="38"/>
      <c r="H421" s="30"/>
      <c r="I421" s="40"/>
      <c r="J421" s="41"/>
      <c r="L421" s="42"/>
      <c r="M421" s="32">
        <f t="shared" si="20"/>
        <v>0</v>
      </c>
    </row>
    <row r="422" spans="1:13" s="32" customFormat="1" ht="18.75">
      <c r="A422" s="43" t="s">
        <v>470</v>
      </c>
      <c r="B422" s="63" t="s">
        <v>471</v>
      </c>
      <c r="C422" s="64"/>
      <c r="D422" s="55"/>
      <c r="E422" s="71"/>
      <c r="F422" s="71"/>
      <c r="G422" s="38"/>
      <c r="H422" s="30"/>
      <c r="I422" s="40"/>
      <c r="J422" s="41"/>
      <c r="L422" s="42"/>
      <c r="M422" s="32">
        <f t="shared" si="20"/>
        <v>0</v>
      </c>
    </row>
    <row r="423" spans="1:13" s="32" customFormat="1" ht="315">
      <c r="A423" s="43"/>
      <c r="B423" s="44" t="s">
        <v>472</v>
      </c>
      <c r="C423" s="64"/>
      <c r="D423" s="55"/>
      <c r="E423" s="71"/>
      <c r="F423" s="71"/>
      <c r="G423" s="38"/>
      <c r="H423" s="30"/>
      <c r="I423" s="40"/>
      <c r="J423" s="41"/>
      <c r="L423" s="42"/>
      <c r="M423" s="32">
        <f t="shared" si="20"/>
        <v>0</v>
      </c>
    </row>
    <row r="424" spans="1:13" s="32" customFormat="1" ht="18.75">
      <c r="A424" s="43"/>
      <c r="B424" s="63"/>
      <c r="C424" s="64"/>
      <c r="D424" s="55"/>
      <c r="E424" s="71"/>
      <c r="F424" s="71"/>
      <c r="G424" s="38"/>
      <c r="H424" s="30"/>
      <c r="I424" s="40"/>
      <c r="J424" s="41"/>
      <c r="L424" s="42"/>
      <c r="M424" s="32">
        <f t="shared" si="20"/>
        <v>0</v>
      </c>
    </row>
    <row r="425" spans="1:13" s="32" customFormat="1" ht="18.75">
      <c r="A425" s="43" t="s">
        <v>473</v>
      </c>
      <c r="B425" s="51" t="s">
        <v>474</v>
      </c>
      <c r="C425" s="64" t="s">
        <v>21</v>
      </c>
      <c r="D425" s="55">
        <v>1</v>
      </c>
      <c r="E425" s="37">
        <v>992.16</v>
      </c>
      <c r="F425" s="37">
        <f>ROUND(E425*1.2288,2)</f>
        <v>1219.17</v>
      </c>
      <c r="G425" s="38">
        <f>ROUND(F425*D425,2)</f>
        <v>1219.17</v>
      </c>
      <c r="H425" s="30">
        <v>1</v>
      </c>
      <c r="I425" s="40"/>
      <c r="J425" s="41"/>
      <c r="L425" s="42">
        <f aca="true" t="shared" si="22" ref="L425:L443">D425*F425</f>
        <v>1219.17</v>
      </c>
      <c r="M425" s="32">
        <f t="shared" si="20"/>
        <v>992.16</v>
      </c>
    </row>
    <row r="426" spans="1:13" s="32" customFormat="1" ht="18.75">
      <c r="A426" s="43"/>
      <c r="B426" s="44"/>
      <c r="C426" s="64"/>
      <c r="D426" s="55"/>
      <c r="E426" s="71"/>
      <c r="F426" s="71"/>
      <c r="G426" s="38"/>
      <c r="H426" s="30"/>
      <c r="I426" s="40"/>
      <c r="J426" s="41"/>
      <c r="L426" s="42">
        <f t="shared" si="22"/>
        <v>0</v>
      </c>
      <c r="M426" s="32">
        <f t="shared" si="20"/>
        <v>0</v>
      </c>
    </row>
    <row r="427" spans="1:13" s="32" customFormat="1" ht="18.75">
      <c r="A427" s="43"/>
      <c r="B427" s="51"/>
      <c r="C427" s="64"/>
      <c r="D427" s="55"/>
      <c r="E427" s="71"/>
      <c r="F427" s="71"/>
      <c r="G427" s="38"/>
      <c r="H427" s="30"/>
      <c r="I427" s="40"/>
      <c r="J427" s="41"/>
      <c r="L427" s="42">
        <f t="shared" si="22"/>
        <v>0</v>
      </c>
      <c r="M427" s="32">
        <f t="shared" si="20"/>
        <v>0</v>
      </c>
    </row>
    <row r="428" spans="1:13" s="32" customFormat="1" ht="18.75">
      <c r="A428" s="43" t="s">
        <v>475</v>
      </c>
      <c r="B428" s="63" t="s">
        <v>476</v>
      </c>
      <c r="C428" s="64"/>
      <c r="D428" s="55"/>
      <c r="E428" s="71"/>
      <c r="F428" s="71"/>
      <c r="G428" s="38"/>
      <c r="H428" s="30"/>
      <c r="I428" s="40"/>
      <c r="J428" s="41"/>
      <c r="L428" s="42">
        <f t="shared" si="22"/>
        <v>0</v>
      </c>
      <c r="M428" s="32">
        <f t="shared" si="20"/>
        <v>0</v>
      </c>
    </row>
    <row r="429" spans="1:13" s="32" customFormat="1" ht="303" customHeight="1">
      <c r="A429" s="43"/>
      <c r="B429" s="44" t="s">
        <v>477</v>
      </c>
      <c r="C429" s="64"/>
      <c r="D429" s="55"/>
      <c r="E429" s="71"/>
      <c r="F429" s="71"/>
      <c r="G429" s="38"/>
      <c r="H429" s="30"/>
      <c r="I429" s="40"/>
      <c r="J429" s="41"/>
      <c r="L429" s="42">
        <f t="shared" si="22"/>
        <v>0</v>
      </c>
      <c r="M429" s="32">
        <f t="shared" si="20"/>
        <v>0</v>
      </c>
    </row>
    <row r="430" spans="1:13" s="32" customFormat="1" ht="18.75">
      <c r="A430" s="43"/>
      <c r="B430" s="44"/>
      <c r="C430" s="64"/>
      <c r="D430" s="55"/>
      <c r="E430" s="71"/>
      <c r="F430" s="71"/>
      <c r="G430" s="38"/>
      <c r="H430" s="30"/>
      <c r="I430" s="40"/>
      <c r="J430" s="41"/>
      <c r="L430" s="42">
        <f t="shared" si="22"/>
        <v>0</v>
      </c>
      <c r="M430" s="32">
        <f t="shared" si="20"/>
        <v>0</v>
      </c>
    </row>
    <row r="431" spans="1:13" s="32" customFormat="1" ht="18.75">
      <c r="A431" s="43" t="s">
        <v>478</v>
      </c>
      <c r="B431" s="51" t="s">
        <v>479</v>
      </c>
      <c r="C431" s="64" t="s">
        <v>21</v>
      </c>
      <c r="D431" s="55">
        <v>1</v>
      </c>
      <c r="E431" s="37">
        <v>1571.81</v>
      </c>
      <c r="F431" s="37">
        <f>ROUND(E431*1.2493,2)</f>
        <v>1963.66</v>
      </c>
      <c r="G431" s="38">
        <f>ROUND(F431*D431,2)</f>
        <v>1963.66</v>
      </c>
      <c r="H431" s="30">
        <v>1</v>
      </c>
      <c r="I431" s="40"/>
      <c r="J431" s="41"/>
      <c r="L431" s="42">
        <f t="shared" si="22"/>
        <v>1963.66</v>
      </c>
      <c r="M431" s="32">
        <f t="shared" si="20"/>
        <v>1571.81</v>
      </c>
    </row>
    <row r="432" spans="1:13" s="32" customFormat="1" ht="18.75">
      <c r="A432" s="43"/>
      <c r="B432" s="48"/>
      <c r="C432" s="64"/>
      <c r="D432" s="55"/>
      <c r="E432" s="71"/>
      <c r="F432" s="71"/>
      <c r="G432" s="38"/>
      <c r="H432" s="30"/>
      <c r="I432" s="40"/>
      <c r="J432" s="41"/>
      <c r="L432" s="42">
        <f t="shared" si="22"/>
        <v>0</v>
      </c>
      <c r="M432" s="32">
        <f t="shared" si="20"/>
        <v>0</v>
      </c>
    </row>
    <row r="433" spans="1:13" s="32" customFormat="1" ht="18.75">
      <c r="A433" s="43" t="s">
        <v>480</v>
      </c>
      <c r="B433" s="60" t="s">
        <v>481</v>
      </c>
      <c r="C433" s="64" t="s">
        <v>21</v>
      </c>
      <c r="D433" s="55">
        <v>1</v>
      </c>
      <c r="E433" s="37">
        <v>1387.24</v>
      </c>
      <c r="F433" s="37">
        <f>ROUND(E433*1.2493,2)</f>
        <v>1733.08</v>
      </c>
      <c r="G433" s="38">
        <f>ROUND(F433*D433,2)</f>
        <v>1733.08</v>
      </c>
      <c r="H433" s="30">
        <v>1</v>
      </c>
      <c r="I433" s="40"/>
      <c r="J433" s="41"/>
      <c r="L433" s="42">
        <f t="shared" si="22"/>
        <v>1733.08</v>
      </c>
      <c r="M433" s="32">
        <f t="shared" si="20"/>
        <v>1387.24</v>
      </c>
    </row>
    <row r="434" spans="1:13" s="32" customFormat="1" ht="18.75">
      <c r="A434" s="43"/>
      <c r="B434" s="48"/>
      <c r="C434" s="64"/>
      <c r="D434" s="55"/>
      <c r="E434" s="71"/>
      <c r="F434" s="71"/>
      <c r="G434" s="38"/>
      <c r="H434" s="30"/>
      <c r="I434" s="40"/>
      <c r="J434" s="41"/>
      <c r="L434" s="42">
        <f t="shared" si="22"/>
        <v>0</v>
      </c>
      <c r="M434" s="32">
        <f t="shared" si="20"/>
        <v>0</v>
      </c>
    </row>
    <row r="435" spans="1:13" s="32" customFormat="1" ht="18.75">
      <c r="A435" s="43" t="s">
        <v>482</v>
      </c>
      <c r="B435" s="60" t="s">
        <v>483</v>
      </c>
      <c r="C435" s="64" t="s">
        <v>21</v>
      </c>
      <c r="D435" s="55">
        <v>1</v>
      </c>
      <c r="E435" s="37">
        <v>1464.96</v>
      </c>
      <c r="F435" s="37">
        <f>ROUND(E435*1.2493,2)</f>
        <v>1830.17</v>
      </c>
      <c r="G435" s="38">
        <f>ROUND(F435*D435,2)</f>
        <v>1830.17</v>
      </c>
      <c r="H435" s="30">
        <v>1</v>
      </c>
      <c r="I435" s="40"/>
      <c r="J435" s="41"/>
      <c r="L435" s="42">
        <f t="shared" si="22"/>
        <v>1830.17</v>
      </c>
      <c r="M435" s="32">
        <f t="shared" si="20"/>
        <v>1464.96</v>
      </c>
    </row>
    <row r="436" spans="1:13" s="32" customFormat="1" ht="18.75">
      <c r="A436" s="43"/>
      <c r="B436" s="48"/>
      <c r="C436" s="64"/>
      <c r="D436" s="55"/>
      <c r="E436" s="71"/>
      <c r="F436" s="71"/>
      <c r="G436" s="38"/>
      <c r="H436" s="30"/>
      <c r="I436" s="40"/>
      <c r="J436" s="41"/>
      <c r="L436" s="42">
        <f t="shared" si="22"/>
        <v>0</v>
      </c>
      <c r="M436" s="32">
        <f t="shared" si="20"/>
        <v>0</v>
      </c>
    </row>
    <row r="437" spans="1:13" s="32" customFormat="1" ht="18.75">
      <c r="A437" s="43"/>
      <c r="B437" s="48"/>
      <c r="C437" s="64"/>
      <c r="D437" s="55"/>
      <c r="E437" s="71"/>
      <c r="F437" s="71"/>
      <c r="G437" s="38"/>
      <c r="H437" s="30"/>
      <c r="I437" s="40"/>
      <c r="J437" s="41"/>
      <c r="L437" s="42">
        <f t="shared" si="22"/>
        <v>0</v>
      </c>
      <c r="M437" s="32">
        <f t="shared" si="20"/>
        <v>0</v>
      </c>
    </row>
    <row r="438" spans="1:13" s="32" customFormat="1" ht="18.75">
      <c r="A438" s="43" t="s">
        <v>484</v>
      </c>
      <c r="B438" s="60" t="s">
        <v>485</v>
      </c>
      <c r="C438" s="64" t="s">
        <v>21</v>
      </c>
      <c r="D438" s="55">
        <v>2</v>
      </c>
      <c r="E438" s="37">
        <v>1309.31</v>
      </c>
      <c r="F438" s="37">
        <f>ROUND(E438*1.2493,2)</f>
        <v>1635.72</v>
      </c>
      <c r="G438" s="38">
        <f>ROUND(F438*D438,2)</f>
        <v>3271.44</v>
      </c>
      <c r="H438" s="30">
        <v>2</v>
      </c>
      <c r="I438" s="40"/>
      <c r="J438" s="41"/>
      <c r="L438" s="42">
        <f t="shared" si="22"/>
        <v>3271.44</v>
      </c>
      <c r="M438" s="32">
        <f t="shared" si="20"/>
        <v>2618.62</v>
      </c>
    </row>
    <row r="439" spans="1:13" s="32" customFormat="1" ht="18.75">
      <c r="A439" s="43"/>
      <c r="B439" s="48"/>
      <c r="C439" s="64"/>
      <c r="D439" s="55"/>
      <c r="E439" s="71"/>
      <c r="F439" s="71"/>
      <c r="G439" s="38"/>
      <c r="H439" s="30"/>
      <c r="I439" s="40"/>
      <c r="J439" s="41"/>
      <c r="L439" s="42">
        <f t="shared" si="22"/>
        <v>0</v>
      </c>
      <c r="M439" s="32">
        <f t="shared" si="20"/>
        <v>0</v>
      </c>
    </row>
    <row r="440" spans="1:13" s="32" customFormat="1" ht="18.75">
      <c r="A440" s="43" t="s">
        <v>486</v>
      </c>
      <c r="B440" s="60" t="s">
        <v>487</v>
      </c>
      <c r="C440" s="64" t="s">
        <v>21</v>
      </c>
      <c r="D440" s="55">
        <v>2</v>
      </c>
      <c r="E440" s="37">
        <v>1781.79</v>
      </c>
      <c r="F440" s="37">
        <f>ROUND(E440*1.2493,2)</f>
        <v>2225.99</v>
      </c>
      <c r="G440" s="38">
        <f>ROUND(F440*D440,2)</f>
        <v>4451.98</v>
      </c>
      <c r="H440" s="30">
        <v>2</v>
      </c>
      <c r="I440" s="40"/>
      <c r="J440" s="41"/>
      <c r="L440" s="42">
        <f t="shared" si="22"/>
        <v>4451.98</v>
      </c>
      <c r="M440" s="32">
        <f t="shared" si="20"/>
        <v>3563.58</v>
      </c>
    </row>
    <row r="441" spans="1:13" s="32" customFormat="1" ht="18.75">
      <c r="A441" s="43"/>
      <c r="B441" s="60"/>
      <c r="C441" s="64"/>
      <c r="D441" s="55"/>
      <c r="E441" s="37"/>
      <c r="F441" s="37"/>
      <c r="G441" s="38"/>
      <c r="H441" s="30"/>
      <c r="I441" s="40"/>
      <c r="J441" s="41"/>
      <c r="L441" s="42">
        <f t="shared" si="22"/>
        <v>0</v>
      </c>
      <c r="M441" s="32">
        <f t="shared" si="20"/>
        <v>0</v>
      </c>
    </row>
    <row r="442" spans="1:13" s="32" customFormat="1" ht="18.75">
      <c r="A442" s="43"/>
      <c r="B442" s="60"/>
      <c r="C442" s="64"/>
      <c r="D442" s="55"/>
      <c r="E442" s="37"/>
      <c r="F442" s="37"/>
      <c r="G442" s="38"/>
      <c r="H442" s="30"/>
      <c r="I442" s="40"/>
      <c r="J442" s="41"/>
      <c r="L442" s="42">
        <f t="shared" si="22"/>
        <v>0</v>
      </c>
      <c r="M442" s="32">
        <f t="shared" si="20"/>
        <v>0</v>
      </c>
    </row>
    <row r="443" spans="1:13" s="32" customFormat="1" ht="18.75">
      <c r="A443" s="43" t="s">
        <v>488</v>
      </c>
      <c r="B443" s="60" t="s">
        <v>489</v>
      </c>
      <c r="C443" s="64" t="s">
        <v>21</v>
      </c>
      <c r="D443" s="55">
        <v>1</v>
      </c>
      <c r="E443" s="37">
        <v>1183.78</v>
      </c>
      <c r="F443" s="37">
        <f>ROUND(E443*1.2493,2)</f>
        <v>1478.9</v>
      </c>
      <c r="G443" s="38">
        <f>ROUND(F443*D443,2)</f>
        <v>1478.9</v>
      </c>
      <c r="H443" s="30">
        <v>1</v>
      </c>
      <c r="I443" s="40"/>
      <c r="J443" s="41"/>
      <c r="L443" s="42">
        <f t="shared" si="22"/>
        <v>1478.9</v>
      </c>
      <c r="M443" s="32">
        <f t="shared" si="20"/>
        <v>1183.78</v>
      </c>
    </row>
    <row r="444" spans="1:13" s="32" customFormat="1" ht="18.75">
      <c r="A444" s="43"/>
      <c r="B444" s="60"/>
      <c r="C444" s="64"/>
      <c r="D444" s="55"/>
      <c r="E444" s="37"/>
      <c r="F444" s="37"/>
      <c r="G444" s="38"/>
      <c r="H444" s="30"/>
      <c r="I444" s="40"/>
      <c r="J444" s="41"/>
      <c r="L444" s="42"/>
      <c r="M444" s="32">
        <f t="shared" si="20"/>
        <v>0</v>
      </c>
    </row>
    <row r="445" spans="1:13" s="32" customFormat="1" ht="18.75">
      <c r="A445" s="43"/>
      <c r="B445" s="60"/>
      <c r="C445" s="170" t="s">
        <v>35</v>
      </c>
      <c r="D445" s="170"/>
      <c r="E445" s="170"/>
      <c r="F445" s="143"/>
      <c r="G445" s="53">
        <f>G425+G431+G433+G435+G438+G440+G443</f>
        <v>15948.4</v>
      </c>
      <c r="H445" s="30"/>
      <c r="I445" s="40"/>
      <c r="J445" s="41"/>
      <c r="L445" s="168">
        <f>SUM(L422:L443)</f>
        <v>15948.4</v>
      </c>
      <c r="M445" s="32">
        <f t="shared" si="20"/>
        <v>0</v>
      </c>
    </row>
    <row r="446" spans="1:13" s="32" customFormat="1" ht="18.75">
      <c r="A446" s="24" t="s">
        <v>490</v>
      </c>
      <c r="B446" s="25" t="s">
        <v>491</v>
      </c>
      <c r="C446" s="64"/>
      <c r="D446" s="55"/>
      <c r="E446" s="71"/>
      <c r="F446" s="71"/>
      <c r="G446" s="38"/>
      <c r="H446" s="30"/>
      <c r="I446" s="40"/>
      <c r="J446" s="41"/>
      <c r="L446" s="42"/>
      <c r="M446" s="32">
        <f t="shared" si="20"/>
        <v>0</v>
      </c>
    </row>
    <row r="447" spans="1:13" s="32" customFormat="1" ht="78.75">
      <c r="A447" s="43" t="s">
        <v>492</v>
      </c>
      <c r="B447" s="60" t="s">
        <v>493</v>
      </c>
      <c r="C447" s="64" t="s">
        <v>98</v>
      </c>
      <c r="D447" s="55">
        <f>4.26+0.36+2.18</f>
        <v>6.800000000000001</v>
      </c>
      <c r="E447" s="37">
        <v>16.8</v>
      </c>
      <c r="F447" s="37">
        <f>ROUND(E447*1.2288,2)</f>
        <v>20.64</v>
      </c>
      <c r="G447" s="38">
        <f>ROUND(F447*D447,2)</f>
        <v>140.35</v>
      </c>
      <c r="H447" s="30" t="s">
        <v>494</v>
      </c>
      <c r="I447" s="40" t="s">
        <v>495</v>
      </c>
      <c r="J447" s="41"/>
      <c r="L447" s="42"/>
      <c r="M447" s="32">
        <f t="shared" si="20"/>
        <v>114.24000000000002</v>
      </c>
    </row>
    <row r="448" spans="1:12" s="32" customFormat="1" ht="18.75">
      <c r="A448" s="43"/>
      <c r="B448" s="48"/>
      <c r="C448" s="64"/>
      <c r="D448" s="55"/>
      <c r="E448" s="71"/>
      <c r="F448" s="71"/>
      <c r="G448" s="38"/>
      <c r="H448" s="30"/>
      <c r="I448" s="40"/>
      <c r="J448" s="41"/>
      <c r="L448" s="42"/>
    </row>
    <row r="449" spans="1:13" s="22" customFormat="1" ht="18" customHeight="1">
      <c r="A449" s="100"/>
      <c r="B449" s="99"/>
      <c r="C449" s="170" t="s">
        <v>35</v>
      </c>
      <c r="D449" s="170"/>
      <c r="E449" s="170"/>
      <c r="F449" s="143"/>
      <c r="G449" s="53">
        <f>G447</f>
        <v>140.35</v>
      </c>
      <c r="H449" s="30"/>
      <c r="I449" s="40"/>
      <c r="J449" s="41"/>
      <c r="L449" s="168">
        <f>D447*F447</f>
        <v>140.35200000000003</v>
      </c>
      <c r="M449" s="32">
        <f>SUM(M7:M447)</f>
        <v>465962.1382570002</v>
      </c>
    </row>
    <row r="450" spans="1:13" s="22" customFormat="1" ht="18.75" customHeight="1">
      <c r="A450" s="101"/>
      <c r="B450" s="102"/>
      <c r="C450" s="170" t="s">
        <v>496</v>
      </c>
      <c r="D450" s="170"/>
      <c r="E450" s="170"/>
      <c r="F450" s="143"/>
      <c r="G450" s="53">
        <f>G449+G420+G411+G368+G358+G347+G328+G310+G311+G293+G282+G283+G194+G172+G96+G81+G74+G64+G40+G21+G445</f>
        <v>572825.0858777601</v>
      </c>
      <c r="H450" s="30"/>
      <c r="I450" s="103"/>
      <c r="J450" s="104"/>
      <c r="L450" s="42"/>
      <c r="M450" s="32"/>
    </row>
    <row r="451" spans="1:13" s="22" customFormat="1" ht="18.75" customHeight="1">
      <c r="A451" s="101"/>
      <c r="B451" s="105"/>
      <c r="C451" s="151">
        <f>IF(+D3=2%,24.93%,IF(D3=3%,24.93%,IF(D3=4%,24.93%,IF(D3=5%,24.93%,0))))</f>
        <v>0.2493</v>
      </c>
      <c r="D451" s="175" t="s">
        <v>497</v>
      </c>
      <c r="E451" s="175"/>
      <c r="F451" s="143"/>
      <c r="G451" s="106"/>
      <c r="H451" s="107"/>
      <c r="I451" s="103"/>
      <c r="J451" s="104"/>
      <c r="L451" s="42"/>
      <c r="M451" s="32"/>
    </row>
    <row r="452" spans="1:13" s="22" customFormat="1" ht="18.75" customHeight="1">
      <c r="A452" s="101"/>
      <c r="B452" s="105"/>
      <c r="C452" s="151">
        <f>IF(+D3=2%,20.94%,IF(D3=3%,21.58%,IF(D3=4%,22.23%,IF(D3=5%,22.88%,0))))</f>
        <v>0.2288</v>
      </c>
      <c r="D452" s="170" t="s">
        <v>498</v>
      </c>
      <c r="E452" s="170"/>
      <c r="F452" s="143"/>
      <c r="G452" s="106"/>
      <c r="H452" s="107"/>
      <c r="I452" s="103"/>
      <c r="J452" s="104"/>
      <c r="L452" s="32"/>
      <c r="M452" s="32"/>
    </row>
    <row r="453" spans="1:13" s="22" customFormat="1" ht="18.75" customHeight="1">
      <c r="A453" s="101"/>
      <c r="B453" s="105"/>
      <c r="C453" s="176" t="s">
        <v>499</v>
      </c>
      <c r="D453" s="176"/>
      <c r="E453" s="176"/>
      <c r="F453" s="148"/>
      <c r="G453" s="108">
        <f>SUM(G450:G452)</f>
        <v>572825.0858777601</v>
      </c>
      <c r="H453" s="109"/>
      <c r="I453" s="103"/>
      <c r="J453" s="104"/>
      <c r="L453" s="33">
        <f>+L449++L64+L445+L419+L411+L367+L357+L346+L328+L311+L293+L282+L194+L171+L96+L81+L73+L39+L20</f>
        <v>572825.09758082</v>
      </c>
      <c r="M453" s="32"/>
    </row>
    <row r="454" spans="1:18" ht="36" customHeight="1">
      <c r="A454" s="169"/>
      <c r="B454" s="169"/>
      <c r="C454" s="169"/>
      <c r="D454" s="169"/>
      <c r="E454" s="169"/>
      <c r="F454" s="169"/>
      <c r="G454" s="169"/>
      <c r="H454" s="169"/>
      <c r="I454" s="110" t="s">
        <v>500</v>
      </c>
      <c r="J454" s="111" t="s">
        <v>501</v>
      </c>
      <c r="K454" s="171"/>
      <c r="L454" s="171"/>
      <c r="M454" s="171"/>
      <c r="N454" s="171"/>
      <c r="O454" s="171"/>
      <c r="P454" s="171"/>
      <c r="Q454" s="171"/>
      <c r="R454" s="171"/>
    </row>
    <row r="455" spans="1:10" s="115" customFormat="1" ht="24" customHeight="1">
      <c r="A455" s="172" t="s">
        <v>530</v>
      </c>
      <c r="B455" s="172"/>
      <c r="C455" s="172"/>
      <c r="D455" s="172"/>
      <c r="E455" s="173" t="s">
        <v>531</v>
      </c>
      <c r="F455" s="173"/>
      <c r="G455" s="173"/>
      <c r="H455" s="112" t="s">
        <v>528</v>
      </c>
      <c r="I455" s="113" t="s">
        <v>502</v>
      </c>
      <c r="J455" s="114">
        <v>44537</v>
      </c>
    </row>
    <row r="456" spans="1:10" s="115" customFormat="1" ht="28.5" customHeight="1">
      <c r="A456" s="174" t="s">
        <v>529</v>
      </c>
      <c r="B456" s="174"/>
      <c r="C456" s="174"/>
      <c r="D456" s="174"/>
      <c r="E456" s="116"/>
      <c r="F456" s="116"/>
      <c r="G456" s="117"/>
      <c r="H456" s="118"/>
      <c r="I456" s="119"/>
      <c r="J456" s="120"/>
    </row>
    <row r="457" spans="1:10" s="115" customFormat="1" ht="18">
      <c r="A457" s="121"/>
      <c r="B457" s="122"/>
      <c r="C457" s="123"/>
      <c r="D457" s="4"/>
      <c r="E457" s="5"/>
      <c r="F457" s="5"/>
      <c r="G457" s="4"/>
      <c r="H457" s="124"/>
      <c r="I457" s="125"/>
      <c r="J457" s="126"/>
    </row>
    <row r="458" spans="1:10" s="115" customFormat="1" ht="18">
      <c r="A458" s="121"/>
      <c r="B458" s="122"/>
      <c r="C458" s="123"/>
      <c r="D458" s="4"/>
      <c r="E458" s="5"/>
      <c r="F458" s="5"/>
      <c r="G458" s="4"/>
      <c r="H458" s="124"/>
      <c r="I458" s="125"/>
      <c r="J458" s="126"/>
    </row>
    <row r="459" spans="1:10" s="115" customFormat="1" ht="18">
      <c r="A459" s="121"/>
      <c r="B459" s="122"/>
      <c r="C459" s="123"/>
      <c r="D459" s="4"/>
      <c r="E459" s="5"/>
      <c r="F459" s="5"/>
      <c r="G459" s="4"/>
      <c r="H459" s="124"/>
      <c r="I459" s="125"/>
      <c r="J459" s="126"/>
    </row>
    <row r="460" spans="1:10" s="115" customFormat="1" ht="18">
      <c r="A460" s="121"/>
      <c r="B460" s="127"/>
      <c r="C460" s="123"/>
      <c r="D460" s="4"/>
      <c r="E460" s="5"/>
      <c r="F460" s="5"/>
      <c r="G460" s="4"/>
      <c r="H460" s="124"/>
      <c r="I460" s="125"/>
      <c r="J460" s="126"/>
    </row>
    <row r="461" spans="1:10" s="115" customFormat="1" ht="18">
      <c r="A461" s="1"/>
      <c r="B461" s="2"/>
      <c r="C461" s="3"/>
      <c r="D461" s="4"/>
      <c r="E461" s="5"/>
      <c r="F461" s="5"/>
      <c r="G461" s="4"/>
      <c r="H461" s="124"/>
      <c r="I461" s="125"/>
      <c r="J461" s="126"/>
    </row>
    <row r="462" spans="1:10" s="115" customFormat="1" ht="18">
      <c r="A462" s="1"/>
      <c r="B462" s="2"/>
      <c r="C462" s="3"/>
      <c r="D462" s="4"/>
      <c r="E462" s="5"/>
      <c r="F462" s="5"/>
      <c r="G462" s="4"/>
      <c r="H462" s="124"/>
      <c r="I462" s="125"/>
      <c r="J462" s="126"/>
    </row>
    <row r="463" spans="1:10" s="115" customFormat="1" ht="18">
      <c r="A463" s="1"/>
      <c r="B463" s="2"/>
      <c r="C463" s="3"/>
      <c r="D463" s="4"/>
      <c r="E463" s="5"/>
      <c r="F463" s="5"/>
      <c r="G463" s="4"/>
      <c r="H463" s="124"/>
      <c r="I463" s="125"/>
      <c r="J463" s="126"/>
    </row>
    <row r="464" spans="1:10" s="115" customFormat="1" ht="18">
      <c r="A464" s="1"/>
      <c r="B464" s="2"/>
      <c r="C464" s="3"/>
      <c r="D464" s="4"/>
      <c r="E464" s="5"/>
      <c r="F464" s="5"/>
      <c r="G464" s="144">
        <v>572825.0900826431</v>
      </c>
      <c r="H464" s="124">
        <f>12532.39+7043.09+57172.8+32031.25+15399.19+9988.56+11573.98+12879.15+19191.69+4709.74+11819.59+22908.83+24125.08+11743.33+103.95+298281.16+5232.56+15948.4+140.35</f>
        <v>572825.0900000001</v>
      </c>
      <c r="I464" s="125"/>
      <c r="J464" s="126"/>
    </row>
    <row r="465" spans="1:10" s="115" customFormat="1" ht="18">
      <c r="A465" s="1"/>
      <c r="B465" s="2"/>
      <c r="C465" s="3"/>
      <c r="D465" s="4"/>
      <c r="E465" s="5"/>
      <c r="F465" s="5"/>
      <c r="G465" s="4"/>
      <c r="H465" s="124"/>
      <c r="I465" s="125"/>
      <c r="J465" s="126"/>
    </row>
    <row r="466" spans="1:10" s="115" customFormat="1" ht="18">
      <c r="A466" s="1"/>
      <c r="B466" s="2"/>
      <c r="C466" s="3"/>
      <c r="D466" s="4"/>
      <c r="E466" s="5"/>
      <c r="F466" s="5"/>
      <c r="G466" s="149"/>
      <c r="H466" s="124"/>
      <c r="I466" s="125"/>
      <c r="J466" s="126"/>
    </row>
    <row r="467" spans="1:10" s="115" customFormat="1" ht="18">
      <c r="A467" s="1"/>
      <c r="B467" s="2"/>
      <c r="C467" s="3"/>
      <c r="D467" s="4"/>
      <c r="E467" s="5"/>
      <c r="F467" s="5"/>
      <c r="G467" s="4"/>
      <c r="H467" s="124"/>
      <c r="I467" s="125"/>
      <c r="J467" s="126"/>
    </row>
    <row r="468" spans="1:10" s="115" customFormat="1" ht="18">
      <c r="A468" s="1"/>
      <c r="B468" s="2"/>
      <c r="C468" s="3"/>
      <c r="D468" s="4"/>
      <c r="E468" s="5"/>
      <c r="F468" s="5"/>
      <c r="G468" s="4"/>
      <c r="H468" s="124"/>
      <c r="I468" s="125"/>
      <c r="J468" s="126"/>
    </row>
    <row r="469" spans="1:10" s="115" customFormat="1" ht="18">
      <c r="A469" s="1"/>
      <c r="B469" s="2"/>
      <c r="C469" s="3"/>
      <c r="D469" s="4"/>
      <c r="E469" s="5"/>
      <c r="F469" s="5"/>
      <c r="G469" s="4"/>
      <c r="H469" s="124"/>
      <c r="I469" s="125"/>
      <c r="J469" s="126"/>
    </row>
    <row r="470" spans="1:10" s="115" customFormat="1" ht="18">
      <c r="A470" s="1"/>
      <c r="B470" s="2"/>
      <c r="C470" s="3"/>
      <c r="D470" s="4"/>
      <c r="E470" s="5"/>
      <c r="F470" s="5"/>
      <c r="G470" s="4"/>
      <c r="H470" s="124"/>
      <c r="I470" s="125"/>
      <c r="J470" s="126"/>
    </row>
    <row r="471" spans="1:10" s="115" customFormat="1" ht="18">
      <c r="A471" s="1"/>
      <c r="B471" s="2"/>
      <c r="C471" s="3"/>
      <c r="D471" s="4"/>
      <c r="E471" s="5"/>
      <c r="F471" s="5"/>
      <c r="G471" s="4"/>
      <c r="H471" s="124"/>
      <c r="I471" s="125"/>
      <c r="J471" s="126"/>
    </row>
    <row r="472" spans="1:10" s="115" customFormat="1" ht="18">
      <c r="A472" s="1"/>
      <c r="B472" s="2"/>
      <c r="C472" s="3"/>
      <c r="D472" s="4"/>
      <c r="E472" s="5"/>
      <c r="F472" s="5"/>
      <c r="G472" s="4"/>
      <c r="H472" s="124"/>
      <c r="I472" s="125"/>
      <c r="J472" s="126"/>
    </row>
    <row r="473" spans="1:10" s="115" customFormat="1" ht="18">
      <c r="A473" s="1"/>
      <c r="B473" s="2"/>
      <c r="C473" s="3"/>
      <c r="D473" s="4"/>
      <c r="E473" s="5"/>
      <c r="F473" s="5"/>
      <c r="G473" s="4"/>
      <c r="H473" s="124"/>
      <c r="I473" s="125"/>
      <c r="J473" s="126"/>
    </row>
    <row r="474" spans="1:10" s="115" customFormat="1" ht="18">
      <c r="A474" s="1"/>
      <c r="B474" s="2"/>
      <c r="C474" s="3"/>
      <c r="D474" s="4"/>
      <c r="E474" s="5"/>
      <c r="F474" s="5"/>
      <c r="G474" s="4"/>
      <c r="H474" s="124"/>
      <c r="I474" s="125"/>
      <c r="J474" s="126"/>
    </row>
    <row r="475" spans="1:10" s="115" customFormat="1" ht="18">
      <c r="A475" s="1"/>
      <c r="B475" s="2"/>
      <c r="C475" s="3"/>
      <c r="D475" s="4"/>
      <c r="E475" s="5"/>
      <c r="F475" s="5"/>
      <c r="G475" s="4"/>
      <c r="H475" s="124"/>
      <c r="I475" s="125"/>
      <c r="J475" s="126"/>
    </row>
    <row r="476" spans="1:10" s="115" customFormat="1" ht="18">
      <c r="A476" s="1"/>
      <c r="B476" s="2"/>
      <c r="C476" s="3"/>
      <c r="D476" s="4"/>
      <c r="E476" s="5"/>
      <c r="F476" s="5"/>
      <c r="G476" s="4"/>
      <c r="H476" s="124"/>
      <c r="I476" s="125"/>
      <c r="J476" s="126"/>
    </row>
    <row r="477" spans="1:10" s="115" customFormat="1" ht="18">
      <c r="A477" s="1"/>
      <c r="B477" s="2"/>
      <c r="C477" s="3"/>
      <c r="D477" s="4"/>
      <c r="E477" s="5"/>
      <c r="F477" s="5"/>
      <c r="G477" s="4"/>
      <c r="H477" s="124"/>
      <c r="I477" s="125"/>
      <c r="J477" s="126"/>
    </row>
    <row r="478" spans="1:10" s="115" customFormat="1" ht="18">
      <c r="A478" s="1"/>
      <c r="B478" s="2"/>
      <c r="C478" s="3"/>
      <c r="D478" s="4"/>
      <c r="E478" s="5"/>
      <c r="F478" s="5"/>
      <c r="G478" s="4"/>
      <c r="H478" s="124"/>
      <c r="I478" s="125"/>
      <c r="J478" s="126"/>
    </row>
    <row r="479" spans="1:10" s="115" customFormat="1" ht="18">
      <c r="A479" s="1"/>
      <c r="B479" s="2"/>
      <c r="C479" s="3"/>
      <c r="D479" s="4"/>
      <c r="E479" s="5"/>
      <c r="F479" s="5"/>
      <c r="G479" s="4"/>
      <c r="H479" s="124"/>
      <c r="I479" s="125"/>
      <c r="J479" s="126"/>
    </row>
    <row r="480" spans="1:10" s="115" customFormat="1" ht="18">
      <c r="A480" s="1"/>
      <c r="B480" s="2"/>
      <c r="C480" s="3"/>
      <c r="D480" s="4"/>
      <c r="E480" s="5"/>
      <c r="F480" s="5"/>
      <c r="G480" s="4"/>
      <c r="H480" s="124"/>
      <c r="I480" s="125"/>
      <c r="J480" s="126"/>
    </row>
    <row r="481" spans="1:10" s="115" customFormat="1" ht="18">
      <c r="A481" s="1"/>
      <c r="B481" s="2"/>
      <c r="C481" s="3"/>
      <c r="D481" s="4"/>
      <c r="E481" s="5"/>
      <c r="F481" s="5"/>
      <c r="G481" s="4"/>
      <c r="H481" s="124"/>
      <c r="I481" s="125"/>
      <c r="J481" s="126"/>
    </row>
    <row r="482" spans="1:10" s="115" customFormat="1" ht="18">
      <c r="A482" s="1"/>
      <c r="B482" s="2"/>
      <c r="C482" s="3"/>
      <c r="D482" s="4"/>
      <c r="E482" s="5"/>
      <c r="F482" s="5"/>
      <c r="G482" s="4"/>
      <c r="H482" s="124"/>
      <c r="I482" s="125"/>
      <c r="J482" s="126"/>
    </row>
    <row r="483" spans="1:10" s="115" customFormat="1" ht="18">
      <c r="A483" s="1"/>
      <c r="B483" s="2"/>
      <c r="C483" s="3"/>
      <c r="D483" s="4"/>
      <c r="E483" s="5"/>
      <c r="F483" s="5"/>
      <c r="G483" s="4"/>
      <c r="H483" s="124"/>
      <c r="I483" s="125"/>
      <c r="J483" s="126"/>
    </row>
    <row r="484" spans="1:10" s="115" customFormat="1" ht="18">
      <c r="A484" s="1"/>
      <c r="B484" s="2"/>
      <c r="C484" s="3"/>
      <c r="D484" s="4"/>
      <c r="E484" s="5"/>
      <c r="F484" s="5"/>
      <c r="G484" s="4"/>
      <c r="H484" s="124"/>
      <c r="I484" s="125"/>
      <c r="J484" s="126"/>
    </row>
    <row r="485" spans="1:10" s="115" customFormat="1" ht="18">
      <c r="A485" s="1"/>
      <c r="B485" s="2"/>
      <c r="C485" s="3"/>
      <c r="D485" s="4"/>
      <c r="E485" s="5"/>
      <c r="F485" s="5"/>
      <c r="G485" s="4"/>
      <c r="H485" s="124"/>
      <c r="I485" s="125"/>
      <c r="J485" s="126"/>
    </row>
    <row r="486" spans="1:10" s="115" customFormat="1" ht="18">
      <c r="A486" s="1"/>
      <c r="B486" s="2"/>
      <c r="C486" s="3"/>
      <c r="D486" s="4"/>
      <c r="E486" s="5"/>
      <c r="F486" s="5"/>
      <c r="G486" s="4"/>
      <c r="H486" s="124"/>
      <c r="I486" s="125"/>
      <c r="J486" s="126"/>
    </row>
    <row r="487" spans="1:10" s="115" customFormat="1" ht="18">
      <c r="A487" s="1"/>
      <c r="B487" s="2"/>
      <c r="C487" s="3"/>
      <c r="D487" s="4"/>
      <c r="E487" s="5"/>
      <c r="F487" s="5"/>
      <c r="G487" s="4"/>
      <c r="H487" s="124"/>
      <c r="I487" s="125"/>
      <c r="J487" s="126"/>
    </row>
    <row r="488" spans="1:10" s="115" customFormat="1" ht="18">
      <c r="A488" s="1"/>
      <c r="B488" s="2"/>
      <c r="C488" s="3"/>
      <c r="D488" s="4"/>
      <c r="E488" s="5"/>
      <c r="F488" s="5"/>
      <c r="G488" s="4"/>
      <c r="H488" s="124"/>
      <c r="I488" s="125"/>
      <c r="J488" s="126"/>
    </row>
    <row r="489" spans="1:10" s="115" customFormat="1" ht="18">
      <c r="A489" s="1"/>
      <c r="B489" s="2"/>
      <c r="C489" s="3"/>
      <c r="D489" s="4"/>
      <c r="E489" s="5"/>
      <c r="F489" s="5"/>
      <c r="G489" s="4"/>
      <c r="H489" s="124"/>
      <c r="I489" s="125"/>
      <c r="J489" s="126"/>
    </row>
    <row r="490" spans="1:10" s="115" customFormat="1" ht="18">
      <c r="A490" s="1"/>
      <c r="B490" s="2"/>
      <c r="C490" s="3"/>
      <c r="D490" s="4"/>
      <c r="E490" s="5"/>
      <c r="F490" s="5"/>
      <c r="G490" s="4"/>
      <c r="H490" s="124"/>
      <c r="I490" s="125"/>
      <c r="J490" s="126"/>
    </row>
    <row r="491" spans="1:10" s="115" customFormat="1" ht="18">
      <c r="A491" s="1"/>
      <c r="B491" s="2"/>
      <c r="C491" s="3"/>
      <c r="D491" s="4"/>
      <c r="E491" s="5"/>
      <c r="F491" s="5"/>
      <c r="G491" s="4"/>
      <c r="H491" s="124"/>
      <c r="I491" s="125"/>
      <c r="J491" s="126"/>
    </row>
    <row r="492" spans="1:10" s="115" customFormat="1" ht="18">
      <c r="A492" s="1"/>
      <c r="B492" s="2"/>
      <c r="C492" s="3"/>
      <c r="D492" s="4"/>
      <c r="E492" s="5"/>
      <c r="F492" s="5"/>
      <c r="G492" s="4"/>
      <c r="H492" s="124"/>
      <c r="I492" s="125"/>
      <c r="J492" s="126"/>
    </row>
    <row r="493" spans="1:10" s="115" customFormat="1" ht="18">
      <c r="A493" s="1"/>
      <c r="B493" s="2"/>
      <c r="C493" s="3"/>
      <c r="D493" s="4"/>
      <c r="E493" s="5"/>
      <c r="F493" s="5"/>
      <c r="G493" s="4"/>
      <c r="H493" s="124"/>
      <c r="I493" s="125"/>
      <c r="J493" s="126"/>
    </row>
    <row r="494" spans="1:10" s="115" customFormat="1" ht="18">
      <c r="A494" s="1"/>
      <c r="B494" s="2"/>
      <c r="C494" s="3"/>
      <c r="D494" s="4"/>
      <c r="E494" s="5"/>
      <c r="F494" s="5"/>
      <c r="G494" s="4"/>
      <c r="H494" s="124"/>
      <c r="I494" s="125"/>
      <c r="J494" s="126"/>
    </row>
    <row r="495" spans="1:10" s="115" customFormat="1" ht="18">
      <c r="A495" s="1"/>
      <c r="B495" s="2"/>
      <c r="C495" s="3"/>
      <c r="D495" s="4"/>
      <c r="E495" s="5"/>
      <c r="F495" s="5"/>
      <c r="G495" s="4"/>
      <c r="H495" s="124"/>
      <c r="I495" s="125"/>
      <c r="J495" s="126"/>
    </row>
    <row r="496" spans="1:10" s="115" customFormat="1" ht="18">
      <c r="A496" s="1"/>
      <c r="B496" s="2"/>
      <c r="C496" s="3"/>
      <c r="D496" s="4"/>
      <c r="E496" s="5"/>
      <c r="F496" s="5"/>
      <c r="G496" s="4"/>
      <c r="H496" s="124"/>
      <c r="I496" s="125"/>
      <c r="J496" s="126"/>
    </row>
    <row r="497" spans="1:10" s="115" customFormat="1" ht="18">
      <c r="A497" s="1"/>
      <c r="B497" s="2"/>
      <c r="C497" s="3"/>
      <c r="D497" s="4"/>
      <c r="E497" s="5"/>
      <c r="F497" s="5"/>
      <c r="G497" s="4"/>
      <c r="H497" s="124"/>
      <c r="I497" s="125"/>
      <c r="J497" s="126"/>
    </row>
    <row r="498" spans="1:10" s="115" customFormat="1" ht="18">
      <c r="A498" s="1"/>
      <c r="B498" s="2"/>
      <c r="C498" s="3"/>
      <c r="D498" s="4"/>
      <c r="E498" s="5"/>
      <c r="F498" s="5"/>
      <c r="G498" s="4"/>
      <c r="H498" s="124"/>
      <c r="I498" s="125"/>
      <c r="J498" s="126"/>
    </row>
    <row r="499" spans="1:10" s="115" customFormat="1" ht="18">
      <c r="A499" s="1"/>
      <c r="B499" s="2"/>
      <c r="C499" s="3"/>
      <c r="D499" s="4"/>
      <c r="E499" s="5"/>
      <c r="F499" s="5"/>
      <c r="G499" s="4"/>
      <c r="H499" s="124"/>
      <c r="I499" s="125"/>
      <c r="J499" s="126"/>
    </row>
    <row r="500" spans="1:10" s="115" customFormat="1" ht="18">
      <c r="A500" s="1"/>
      <c r="B500" s="2"/>
      <c r="C500" s="3"/>
      <c r="D500" s="4"/>
      <c r="E500" s="5"/>
      <c r="F500" s="5"/>
      <c r="G500" s="4"/>
      <c r="H500" s="124"/>
      <c r="I500" s="125"/>
      <c r="J500" s="126"/>
    </row>
    <row r="501" spans="1:10" s="115" customFormat="1" ht="18">
      <c r="A501" s="1"/>
      <c r="B501" s="2"/>
      <c r="C501" s="3"/>
      <c r="D501" s="4"/>
      <c r="E501" s="5"/>
      <c r="F501" s="5"/>
      <c r="G501" s="4"/>
      <c r="H501" s="124"/>
      <c r="I501" s="125"/>
      <c r="J501" s="126"/>
    </row>
    <row r="502" spans="1:10" s="115" customFormat="1" ht="18">
      <c r="A502" s="1"/>
      <c r="B502" s="2"/>
      <c r="C502" s="3"/>
      <c r="D502" s="4"/>
      <c r="E502" s="5"/>
      <c r="F502" s="5"/>
      <c r="G502" s="4"/>
      <c r="H502" s="124"/>
      <c r="I502" s="125"/>
      <c r="J502" s="126"/>
    </row>
    <row r="503" spans="1:10" s="115" customFormat="1" ht="18">
      <c r="A503" s="1"/>
      <c r="B503" s="2"/>
      <c r="C503" s="3"/>
      <c r="D503" s="4"/>
      <c r="E503" s="5"/>
      <c r="F503" s="5"/>
      <c r="G503" s="4"/>
      <c r="H503" s="124"/>
      <c r="I503" s="125"/>
      <c r="J503" s="126"/>
    </row>
    <row r="504" spans="1:10" s="115" customFormat="1" ht="18">
      <c r="A504" s="1"/>
      <c r="B504" s="2"/>
      <c r="C504" s="3"/>
      <c r="D504" s="4"/>
      <c r="E504" s="5"/>
      <c r="F504" s="5"/>
      <c r="G504" s="4"/>
      <c r="H504" s="124"/>
      <c r="I504" s="125"/>
      <c r="J504" s="126"/>
    </row>
    <row r="505" spans="1:10" s="115" customFormat="1" ht="18">
      <c r="A505" s="1"/>
      <c r="B505" s="2"/>
      <c r="C505" s="3"/>
      <c r="D505" s="4"/>
      <c r="E505" s="5"/>
      <c r="F505" s="5"/>
      <c r="G505" s="4"/>
      <c r="H505" s="124"/>
      <c r="I505" s="125"/>
      <c r="J505" s="126"/>
    </row>
    <row r="506" spans="1:10" s="115" customFormat="1" ht="18">
      <c r="A506" s="1"/>
      <c r="B506" s="2"/>
      <c r="C506" s="3"/>
      <c r="D506" s="4"/>
      <c r="E506" s="5"/>
      <c r="F506" s="5"/>
      <c r="G506" s="4"/>
      <c r="H506" s="124"/>
      <c r="I506" s="125"/>
      <c r="J506" s="126"/>
    </row>
    <row r="507" spans="1:10" s="115" customFormat="1" ht="18">
      <c r="A507" s="1"/>
      <c r="B507" s="2"/>
      <c r="C507" s="3"/>
      <c r="D507" s="4"/>
      <c r="E507" s="5"/>
      <c r="F507" s="5"/>
      <c r="G507" s="4"/>
      <c r="H507" s="124"/>
      <c r="I507" s="125"/>
      <c r="J507" s="126"/>
    </row>
    <row r="508" spans="1:10" s="115" customFormat="1" ht="18">
      <c r="A508" s="1"/>
      <c r="B508" s="2"/>
      <c r="C508" s="3"/>
      <c r="D508" s="4"/>
      <c r="E508" s="5"/>
      <c r="F508" s="5"/>
      <c r="G508" s="4"/>
      <c r="H508" s="124"/>
      <c r="I508" s="125"/>
      <c r="J508" s="126"/>
    </row>
    <row r="509" spans="1:10" s="115" customFormat="1" ht="18">
      <c r="A509" s="1"/>
      <c r="B509" s="2"/>
      <c r="C509" s="3"/>
      <c r="D509" s="4"/>
      <c r="E509" s="5"/>
      <c r="F509" s="5"/>
      <c r="G509" s="4"/>
      <c r="H509" s="124"/>
      <c r="I509" s="125"/>
      <c r="J509" s="126"/>
    </row>
    <row r="510" spans="1:10" s="115" customFormat="1" ht="18">
      <c r="A510" s="1"/>
      <c r="B510" s="2"/>
      <c r="C510" s="3"/>
      <c r="D510" s="4"/>
      <c r="E510" s="5"/>
      <c r="F510" s="5"/>
      <c r="G510" s="4"/>
      <c r="H510" s="124"/>
      <c r="I510" s="125"/>
      <c r="J510" s="126"/>
    </row>
    <row r="511" spans="1:10" s="115" customFormat="1" ht="18">
      <c r="A511" s="1"/>
      <c r="B511" s="2"/>
      <c r="C511" s="3"/>
      <c r="D511" s="4"/>
      <c r="E511" s="5"/>
      <c r="F511" s="5"/>
      <c r="G511" s="4"/>
      <c r="H511" s="124"/>
      <c r="I511" s="125"/>
      <c r="J511" s="126"/>
    </row>
    <row r="512" spans="1:10" s="115" customFormat="1" ht="18">
      <c r="A512" s="1"/>
      <c r="B512" s="2"/>
      <c r="C512" s="3"/>
      <c r="D512" s="4"/>
      <c r="E512" s="5"/>
      <c r="F512" s="5"/>
      <c r="G512" s="4"/>
      <c r="H512" s="124"/>
      <c r="I512" s="125"/>
      <c r="J512" s="126"/>
    </row>
    <row r="513" spans="1:10" s="115" customFormat="1" ht="18">
      <c r="A513" s="1"/>
      <c r="B513" s="2"/>
      <c r="C513" s="3"/>
      <c r="D513" s="4"/>
      <c r="E513" s="5"/>
      <c r="F513" s="5"/>
      <c r="G513" s="4"/>
      <c r="H513" s="124"/>
      <c r="I513" s="125"/>
      <c r="J513" s="126"/>
    </row>
    <row r="514" spans="1:10" s="115" customFormat="1" ht="18">
      <c r="A514" s="1"/>
      <c r="B514" s="2"/>
      <c r="C514" s="3"/>
      <c r="D514" s="4"/>
      <c r="E514" s="5"/>
      <c r="F514" s="5"/>
      <c r="G514" s="4"/>
      <c r="H514" s="124"/>
      <c r="I514" s="125"/>
      <c r="J514" s="126"/>
    </row>
    <row r="515" spans="8:11" ht="18">
      <c r="H515" s="124"/>
      <c r="I515" s="125"/>
      <c r="J515" s="126"/>
      <c r="K515" s="115"/>
    </row>
    <row r="516" ht="18">
      <c r="H516" s="124"/>
    </row>
    <row r="517" ht="18">
      <c r="H517" s="124"/>
    </row>
    <row r="518" ht="18">
      <c r="H518" s="124"/>
    </row>
    <row r="519" spans="1:7" ht="15.75">
      <c r="A519" s="9"/>
      <c r="C519" s="128"/>
      <c r="D519" s="128"/>
      <c r="E519" s="129"/>
      <c r="F519" s="129"/>
      <c r="G519" s="128"/>
    </row>
    <row r="520" spans="1:7" ht="15.75">
      <c r="A520" s="9"/>
      <c r="C520" s="128"/>
      <c r="D520" s="128"/>
      <c r="E520" s="129"/>
      <c r="F520" s="129"/>
      <c r="G520" s="128"/>
    </row>
    <row r="521" spans="1:7" ht="15.75">
      <c r="A521" s="9"/>
      <c r="C521" s="128"/>
      <c r="D521" s="128"/>
      <c r="E521" s="129"/>
      <c r="F521" s="129"/>
      <c r="G521" s="128"/>
    </row>
  </sheetData>
  <sheetProtection selectLockedCells="1" selectUnlockedCells="1"/>
  <autoFilter ref="G1:G64230"/>
  <mergeCells count="39">
    <mergeCell ref="B1:J1"/>
    <mergeCell ref="A2:B2"/>
    <mergeCell ref="C2:D2"/>
    <mergeCell ref="H2:J2"/>
    <mergeCell ref="A3:B3"/>
    <mergeCell ref="A4:A5"/>
    <mergeCell ref="B4:B5"/>
    <mergeCell ref="C4:C5"/>
    <mergeCell ref="D4:E4"/>
    <mergeCell ref="H4:J4"/>
    <mergeCell ref="H5:J5"/>
    <mergeCell ref="C21:E21"/>
    <mergeCell ref="C40:E40"/>
    <mergeCell ref="C64:E64"/>
    <mergeCell ref="C74:E74"/>
    <mergeCell ref="C81:E81"/>
    <mergeCell ref="C96:E96"/>
    <mergeCell ref="C172:E172"/>
    <mergeCell ref="C194:E194"/>
    <mergeCell ref="C283:E283"/>
    <mergeCell ref="C293:E293"/>
    <mergeCell ref="C311:E311"/>
    <mergeCell ref="C453:E453"/>
    <mergeCell ref="C328:E328"/>
    <mergeCell ref="C347:E347"/>
    <mergeCell ref="C358:E358"/>
    <mergeCell ref="C368:E368"/>
    <mergeCell ref="C411:E411"/>
    <mergeCell ref="C420:E420"/>
    <mergeCell ref="A454:H454"/>
    <mergeCell ref="C445:E445"/>
    <mergeCell ref="K454:R454"/>
    <mergeCell ref="A455:D455"/>
    <mergeCell ref="E455:G455"/>
    <mergeCell ref="A456:D456"/>
    <mergeCell ref="C449:E449"/>
    <mergeCell ref="C450:E450"/>
    <mergeCell ref="D451:E451"/>
    <mergeCell ref="D452:E452"/>
  </mergeCells>
  <printOptions horizontalCentered="1"/>
  <pageMargins left="0.39375" right="0.19652777777777777" top="0.19652777777777777" bottom="0.31527777777777777" header="0.5118055555555555" footer="0.31527777777777777"/>
  <pageSetup horizontalDpi="300" verticalDpi="300" orientation="landscape" paperSize="9" scale="48" r:id="rId2"/>
  <headerFooter alignWithMargins="0">
    <oddFooter>&amp;RPágina &amp;P de &amp;N</oddFooter>
  </headerFooter>
  <drawing r:id="rId1"/>
</worksheet>
</file>

<file path=xl/worksheets/sheet2.xml><?xml version="1.0" encoding="utf-8"?>
<worksheet xmlns="http://schemas.openxmlformats.org/spreadsheetml/2006/main" xmlns:r="http://schemas.openxmlformats.org/officeDocument/2006/relationships">
  <dimension ref="A1:AB29"/>
  <sheetViews>
    <sheetView view="pageBreakPreview" zoomScale="62" zoomScaleNormal="93" zoomScaleSheetLayoutView="62" zoomScalePageLayoutView="0" workbookViewId="0" topLeftCell="A1">
      <selection activeCell="M11" sqref="M11"/>
    </sheetView>
  </sheetViews>
  <sheetFormatPr defaultColWidth="11.57421875" defaultRowHeight="15"/>
  <cols>
    <col min="1" max="1" width="11.57421875" style="0" customWidth="1"/>
    <col min="2" max="2" width="25.421875" style="0" customWidth="1"/>
  </cols>
  <sheetData>
    <row r="1" spans="1:27" ht="18">
      <c r="A1" s="197" t="s">
        <v>503</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1:27" ht="12.75" customHeight="1">
      <c r="A2" s="130"/>
      <c r="B2" s="198" t="s">
        <v>504</v>
      </c>
      <c r="C2" s="198"/>
      <c r="D2" s="198"/>
      <c r="E2" s="198"/>
      <c r="F2" s="198"/>
      <c r="G2" s="198"/>
      <c r="H2" s="198"/>
      <c r="I2" s="198"/>
      <c r="J2" s="199"/>
      <c r="K2" s="199"/>
      <c r="L2" s="199"/>
      <c r="M2" s="199"/>
      <c r="N2" s="199"/>
      <c r="O2" s="199"/>
      <c r="P2" s="199"/>
      <c r="Q2" s="199"/>
      <c r="R2" s="199"/>
      <c r="S2" s="199"/>
      <c r="T2" s="199"/>
      <c r="U2" s="199"/>
      <c r="V2" s="199"/>
      <c r="W2" s="199"/>
      <c r="X2" s="199"/>
      <c r="Y2" s="199"/>
      <c r="Z2" s="199"/>
      <c r="AA2" s="199"/>
    </row>
    <row r="3" spans="1:27" ht="12.75" customHeight="1">
      <c r="A3" s="130"/>
      <c r="B3" s="198" t="s">
        <v>505</v>
      </c>
      <c r="C3" s="198"/>
      <c r="D3" s="198"/>
      <c r="E3" s="198"/>
      <c r="F3" s="198"/>
      <c r="G3" s="198"/>
      <c r="H3" s="198"/>
      <c r="I3" s="198"/>
      <c r="J3" s="199" t="s">
        <v>506</v>
      </c>
      <c r="K3" s="199"/>
      <c r="L3" s="199"/>
      <c r="M3" s="199"/>
      <c r="N3" s="199"/>
      <c r="O3" s="199"/>
      <c r="P3" s="199"/>
      <c r="Q3" s="199"/>
      <c r="R3" s="199"/>
      <c r="S3" s="199"/>
      <c r="T3" s="199"/>
      <c r="U3" s="199"/>
      <c r="V3" s="199"/>
      <c r="W3" s="199"/>
      <c r="X3" s="199"/>
      <c r="Y3" s="199"/>
      <c r="Z3" s="199"/>
      <c r="AA3" s="199"/>
    </row>
    <row r="4" spans="1:27" ht="12.75" customHeight="1">
      <c r="A4" s="130"/>
      <c r="B4" s="198" t="s">
        <v>507</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row>
    <row r="5" spans="1:27" ht="12.75" customHeight="1">
      <c r="A5" s="192" t="s">
        <v>2</v>
      </c>
      <c r="B5" s="193" t="s">
        <v>3</v>
      </c>
      <c r="C5" s="194" t="s">
        <v>508</v>
      </c>
      <c r="D5" s="195" t="s">
        <v>509</v>
      </c>
      <c r="E5" s="196" t="s">
        <v>510</v>
      </c>
      <c r="F5" s="189" t="s">
        <v>511</v>
      </c>
      <c r="G5" s="189"/>
      <c r="H5" s="189" t="s">
        <v>512</v>
      </c>
      <c r="I5" s="189"/>
      <c r="J5" s="189" t="s">
        <v>513</v>
      </c>
      <c r="K5" s="189"/>
      <c r="L5" s="189" t="s">
        <v>514</v>
      </c>
      <c r="M5" s="189"/>
      <c r="N5" s="191" t="s">
        <v>515</v>
      </c>
      <c r="O5" s="191"/>
      <c r="P5" s="189" t="s">
        <v>516</v>
      </c>
      <c r="Q5" s="189"/>
      <c r="R5" s="189" t="s">
        <v>517</v>
      </c>
      <c r="S5" s="189"/>
      <c r="T5" s="189" t="s">
        <v>518</v>
      </c>
      <c r="U5" s="189"/>
      <c r="V5" s="189" t="s">
        <v>519</v>
      </c>
      <c r="W5" s="189"/>
      <c r="X5" s="189" t="s">
        <v>520</v>
      </c>
      <c r="Y5" s="189"/>
      <c r="Z5" s="189" t="s">
        <v>521</v>
      </c>
      <c r="AA5" s="189"/>
    </row>
    <row r="6" spans="1:27" ht="15">
      <c r="A6" s="192"/>
      <c r="B6" s="193"/>
      <c r="C6" s="194"/>
      <c r="D6" s="195"/>
      <c r="E6" s="196"/>
      <c r="F6" s="132" t="s">
        <v>522</v>
      </c>
      <c r="G6" s="131" t="s">
        <v>508</v>
      </c>
      <c r="H6" s="132" t="s">
        <v>522</v>
      </c>
      <c r="I6" s="131" t="s">
        <v>508</v>
      </c>
      <c r="J6" s="132" t="s">
        <v>522</v>
      </c>
      <c r="K6" s="131" t="s">
        <v>508</v>
      </c>
      <c r="L6" s="132" t="s">
        <v>522</v>
      </c>
      <c r="M6" s="131" t="s">
        <v>508</v>
      </c>
      <c r="N6" s="132" t="s">
        <v>522</v>
      </c>
      <c r="O6" s="131" t="s">
        <v>508</v>
      </c>
      <c r="P6" s="132" t="s">
        <v>522</v>
      </c>
      <c r="Q6" s="131" t="s">
        <v>508</v>
      </c>
      <c r="R6" s="132" t="s">
        <v>522</v>
      </c>
      <c r="S6" s="131" t="s">
        <v>508</v>
      </c>
      <c r="T6" s="132" t="s">
        <v>522</v>
      </c>
      <c r="U6" s="131" t="s">
        <v>508</v>
      </c>
      <c r="V6" s="132" t="s">
        <v>522</v>
      </c>
      <c r="W6" s="131" t="s">
        <v>508</v>
      </c>
      <c r="X6" s="132" t="s">
        <v>522</v>
      </c>
      <c r="Y6" s="131" t="s">
        <v>508</v>
      </c>
      <c r="Z6" s="132" t="s">
        <v>522</v>
      </c>
      <c r="AA6" s="131" t="s">
        <v>508</v>
      </c>
    </row>
    <row r="7" spans="1:27" ht="30">
      <c r="A7" s="133">
        <v>1</v>
      </c>
      <c r="B7" s="134" t="str">
        <f>'PLANILHA QUADRA MODELO 3'!B6</f>
        <v>INSTALAÇÃO DOS SERVIÇOS DE ENGENHARIA</v>
      </c>
      <c r="C7" s="135">
        <f>'PLANILHA QUADRA MODELO 3'!G21</f>
        <v>12532.39</v>
      </c>
      <c r="D7" s="135">
        <f>C7*(1+'PLANILHA QUADRA MODELO 3'!C452)</f>
        <v>15399.800832</v>
      </c>
      <c r="E7" s="136">
        <f>D7/$D$27</f>
        <v>0.021868057033531913</v>
      </c>
      <c r="F7" s="136">
        <v>1</v>
      </c>
      <c r="G7" s="137">
        <f>D7*F7</f>
        <v>15399.800832</v>
      </c>
      <c r="H7" s="136"/>
      <c r="I7" s="137"/>
      <c r="J7" s="136"/>
      <c r="K7" s="137"/>
      <c r="L7" s="136"/>
      <c r="M7" s="137"/>
      <c r="N7" s="136"/>
      <c r="O7" s="137"/>
      <c r="P7" s="136"/>
      <c r="Q7" s="137"/>
      <c r="R7" s="136"/>
      <c r="S7" s="137"/>
      <c r="T7" s="136"/>
      <c r="U7" s="137"/>
      <c r="V7" s="136"/>
      <c r="W7" s="137"/>
      <c r="X7" s="136"/>
      <c r="Y7" s="137"/>
      <c r="Z7" s="136"/>
      <c r="AA7" s="137"/>
    </row>
    <row r="8" spans="1:27" ht="15">
      <c r="A8" s="133">
        <v>3</v>
      </c>
      <c r="B8" s="138" t="str">
        <f>'PLANILHA QUADRA MODELO 3'!B22</f>
        <v>TRABALHOS EM TERRA</v>
      </c>
      <c r="C8" s="135">
        <f>'PLANILHA QUADRA MODELO 3'!G40</f>
        <v>7043.09</v>
      </c>
      <c r="D8" s="135">
        <f>C8*(1+'PLANILHA QUADRA MODELO 3'!C452)</f>
        <v>8654.548992000002</v>
      </c>
      <c r="E8" s="136">
        <f>D8/$D$27</f>
        <v>0.012289650562446453</v>
      </c>
      <c r="F8" s="136">
        <v>0.05</v>
      </c>
      <c r="G8" s="137">
        <f>D8*F8</f>
        <v>432.7274496000001</v>
      </c>
      <c r="H8" s="136">
        <v>0.65</v>
      </c>
      <c r="I8" s="137">
        <f>D8*H8</f>
        <v>5625.456844800002</v>
      </c>
      <c r="J8" s="136">
        <v>0.30000000000000004</v>
      </c>
      <c r="K8" s="137">
        <f>D8*J8</f>
        <v>2596.364697600001</v>
      </c>
      <c r="L8" s="136"/>
      <c r="M8" s="137"/>
      <c r="N8" s="136"/>
      <c r="O8" s="137"/>
      <c r="P8" s="136"/>
      <c r="Q8" s="137"/>
      <c r="R8" s="136"/>
      <c r="S8" s="137"/>
      <c r="T8" s="136"/>
      <c r="U8" s="137"/>
      <c r="V8" s="136"/>
      <c r="W8" s="137"/>
      <c r="X8" s="136"/>
      <c r="Y8" s="137"/>
      <c r="Z8" s="136"/>
      <c r="AA8" s="137"/>
    </row>
    <row r="9" spans="1:27" ht="30">
      <c r="A9" s="133">
        <v>4</v>
      </c>
      <c r="B9" s="138" t="str">
        <f>'PLANILHA QUADRA MODELO 3'!B41</f>
        <v>SONDAGEM, FUNDAÇÕES, MUROS E CONTENÇÕES</v>
      </c>
      <c r="C9" s="135">
        <f>'PLANILHA QUADRA MODELO 3'!G64</f>
        <v>57172.8</v>
      </c>
      <c r="D9" s="135">
        <f>C9*(1+'PLANILHA QUADRA MODELO 3'!C452)</f>
        <v>70253.93664000001</v>
      </c>
      <c r="E9" s="136">
        <f>D9/$D$27</f>
        <v>0.09976214043504181</v>
      </c>
      <c r="F9" s="136">
        <v>0.07</v>
      </c>
      <c r="G9" s="137">
        <f>D9*F9</f>
        <v>4917.775564800001</v>
      </c>
      <c r="H9" s="136">
        <v>0.30000000000000004</v>
      </c>
      <c r="I9" s="137">
        <f>D9*H9</f>
        <v>21076.18099200001</v>
      </c>
      <c r="J9" s="136">
        <v>0.63</v>
      </c>
      <c r="K9" s="137">
        <f>D9*J9</f>
        <v>44259.98008320001</v>
      </c>
      <c r="L9" s="136"/>
      <c r="M9" s="137"/>
      <c r="N9" s="136"/>
      <c r="O9" s="137"/>
      <c r="P9" s="136"/>
      <c r="Q9" s="137"/>
      <c r="R9" s="136"/>
      <c r="S9" s="137"/>
      <c r="T9" s="136"/>
      <c r="U9" s="137"/>
      <c r="V9" s="136"/>
      <c r="W9" s="137"/>
      <c r="X9" s="136"/>
      <c r="Y9" s="137"/>
      <c r="Z9" s="136"/>
      <c r="AA9" s="137"/>
    </row>
    <row r="10" spans="1:27" ht="15">
      <c r="A10" s="133">
        <v>5</v>
      </c>
      <c r="B10" s="134" t="str">
        <f>'PLANILHA QUADRA MODELO 3'!B65</f>
        <v>SUPERESTRUTURA</v>
      </c>
      <c r="C10" s="135">
        <f>'PLANILHA QUADRA MODELO 3'!G74</f>
        <v>32031.25</v>
      </c>
      <c r="D10" s="135">
        <f>C10*(1+'PLANILHA QUADRA MODELO 3'!C452)</f>
        <v>39360.00000000001</v>
      </c>
      <c r="E10" s="136">
        <f>D10/$D$27</f>
        <v>0.055892068620216825</v>
      </c>
      <c r="F10" s="136"/>
      <c r="G10" s="137"/>
      <c r="H10" s="136"/>
      <c r="I10" s="137"/>
      <c r="J10" s="136"/>
      <c r="K10" s="137"/>
      <c r="L10" s="136">
        <v>0.15</v>
      </c>
      <c r="M10" s="137">
        <f>D10*L10</f>
        <v>5904.000000000001</v>
      </c>
      <c r="N10" s="136">
        <v>0.4</v>
      </c>
      <c r="O10" s="137">
        <f>D10*N10</f>
        <v>15744.000000000004</v>
      </c>
      <c r="P10" s="136">
        <v>0.45</v>
      </c>
      <c r="Q10" s="137">
        <f>D10*P10</f>
        <v>17712.000000000004</v>
      </c>
      <c r="R10" s="136"/>
      <c r="S10" s="137"/>
      <c r="T10" s="136"/>
      <c r="U10" s="137"/>
      <c r="V10" s="136"/>
      <c r="W10" s="137"/>
      <c r="X10" s="136"/>
      <c r="Y10" s="137"/>
      <c r="Z10" s="136"/>
      <c r="AA10" s="137"/>
    </row>
    <row r="11" spans="1:27" ht="15">
      <c r="A11" s="133">
        <v>6</v>
      </c>
      <c r="B11" s="134" t="str">
        <f>'PLANILHA QUADRA MODELO 3'!B75</f>
        <v>ALVENARIA</v>
      </c>
      <c r="C11" s="135">
        <f>'PLANILHA QUADRA MODELO 3'!G81</f>
        <v>15399.19</v>
      </c>
      <c r="D11" s="135">
        <f>C11*(1+'PLANILHA QUADRA MODELO 3'!C452)</f>
        <v>18922.524672000003</v>
      </c>
      <c r="E11" s="136">
        <f>D11/D27</f>
        <v>0.026870402627926063</v>
      </c>
      <c r="F11" s="136"/>
      <c r="G11" s="137"/>
      <c r="H11" s="136"/>
      <c r="I11" s="137"/>
      <c r="J11" s="136">
        <v>0.02</v>
      </c>
      <c r="K11" s="137">
        <f>D11*J11</f>
        <v>378.45049344000006</v>
      </c>
      <c r="L11" s="136">
        <v>0.58</v>
      </c>
      <c r="M11" s="137">
        <f>D11*L11</f>
        <v>10975.06430976</v>
      </c>
      <c r="N11" s="136">
        <v>0.4</v>
      </c>
      <c r="O11" s="137">
        <f>D11*N11</f>
        <v>7569.009868800002</v>
      </c>
      <c r="P11" s="136"/>
      <c r="Q11" s="137"/>
      <c r="R11" s="136"/>
      <c r="S11" s="137"/>
      <c r="T11" s="136"/>
      <c r="U11" s="137"/>
      <c r="V11" s="136"/>
      <c r="W11" s="137"/>
      <c r="X11" s="136"/>
      <c r="Y11" s="137"/>
      <c r="Z11" s="136"/>
      <c r="AA11" s="137"/>
    </row>
    <row r="12" spans="1:27" ht="15">
      <c r="A12" s="133">
        <v>7</v>
      </c>
      <c r="B12" s="134" t="str">
        <f>'PLANILHA QUADRA MODELO 3'!B82</f>
        <v>COBERTURA E FORRO</v>
      </c>
      <c r="C12" s="135">
        <f>'PLANILHA QUADRA MODELO 3'!G96</f>
        <v>9988.560000000001</v>
      </c>
      <c r="D12" s="135">
        <f>C12*(1+'PLANILHA QUADRA MODELO 3'!C452)</f>
        <v>12273.942528000003</v>
      </c>
      <c r="E12" s="136">
        <f aca="true" t="shared" si="0" ref="E12:E25">D12/$D$27</f>
        <v>0.017429269258525754</v>
      </c>
      <c r="F12" s="136"/>
      <c r="G12" s="137"/>
      <c r="H12" s="136"/>
      <c r="I12" s="137"/>
      <c r="J12" s="136"/>
      <c r="K12" s="137"/>
      <c r="L12" s="136"/>
      <c r="M12" s="137"/>
      <c r="N12" s="136"/>
      <c r="O12" s="137"/>
      <c r="P12" s="136"/>
      <c r="Q12" s="137"/>
      <c r="R12" s="136">
        <v>0.5</v>
      </c>
      <c r="S12" s="137">
        <f>D12*R12</f>
        <v>6136.971264000002</v>
      </c>
      <c r="T12" s="136">
        <v>0.5</v>
      </c>
      <c r="U12" s="137">
        <f aca="true" t="shared" si="1" ref="U12:U19">D12*T12</f>
        <v>6136.971264000002</v>
      </c>
      <c r="V12" s="136"/>
      <c r="W12" s="137"/>
      <c r="X12" s="136"/>
      <c r="Y12" s="137"/>
      <c r="Z12" s="136"/>
      <c r="AA12" s="137"/>
    </row>
    <row r="13" spans="1:27" ht="30">
      <c r="A13" s="133">
        <v>8</v>
      </c>
      <c r="B13" s="134" t="str">
        <f>'PLANILHA QUADRA MODELO 3'!B97</f>
        <v>INSTALAÇÕES HIDRÁULICAS</v>
      </c>
      <c r="C13" s="135">
        <f>'PLANILHA QUADRA MODELO 3'!G172</f>
        <v>11573.98</v>
      </c>
      <c r="D13" s="135">
        <f>C13*(1+'PLANILHA QUADRA MODELO 3'!C452)</f>
        <v>14222.106624</v>
      </c>
      <c r="E13" s="136">
        <f t="shared" si="0"/>
        <v>0.020195705268105896</v>
      </c>
      <c r="F13" s="136"/>
      <c r="G13" s="137"/>
      <c r="H13" s="136"/>
      <c r="I13" s="137"/>
      <c r="J13" s="136"/>
      <c r="K13" s="137"/>
      <c r="L13" s="136">
        <v>0.35</v>
      </c>
      <c r="M13" s="137">
        <f>D13*L13</f>
        <v>4977.7373184</v>
      </c>
      <c r="N13" s="136">
        <v>0.1</v>
      </c>
      <c r="O13" s="137">
        <f>D13*N13</f>
        <v>1422.2106624</v>
      </c>
      <c r="P13" s="136">
        <v>0.1</v>
      </c>
      <c r="Q13" s="137">
        <f>D13*P13</f>
        <v>1422.2106624</v>
      </c>
      <c r="R13" s="136">
        <v>0.2</v>
      </c>
      <c r="S13" s="137">
        <f>D13*R13</f>
        <v>2844.4213248</v>
      </c>
      <c r="T13" s="136">
        <v>0.2</v>
      </c>
      <c r="U13" s="137">
        <f t="shared" si="1"/>
        <v>2844.4213248</v>
      </c>
      <c r="V13" s="136">
        <v>0.05</v>
      </c>
      <c r="W13" s="137">
        <f>D13*V13</f>
        <v>711.1053312</v>
      </c>
      <c r="X13" s="136"/>
      <c r="Y13" s="137"/>
      <c r="Z13" s="136"/>
      <c r="AA13" s="137"/>
    </row>
    <row r="14" spans="1:27" ht="15">
      <c r="A14" s="133">
        <v>9</v>
      </c>
      <c r="B14" s="134" t="str">
        <f>'PLANILHA QUADRA MODELO 3'!B173</f>
        <v>INSTALAÇÕES SANITÁRIAS</v>
      </c>
      <c r="C14" s="135">
        <f>'PLANILHA QUADRA MODELO 3'!G194</f>
        <v>12879.15</v>
      </c>
      <c r="D14" s="135">
        <f>C14*(1+'PLANILHA QUADRA MODELO 3'!C452)</f>
        <v>15825.89952</v>
      </c>
      <c r="E14" s="136">
        <f t="shared" si="0"/>
        <v>0.022473126573894726</v>
      </c>
      <c r="F14" s="136"/>
      <c r="G14" s="137"/>
      <c r="H14" s="136"/>
      <c r="I14" s="137"/>
      <c r="J14" s="136"/>
      <c r="K14" s="137"/>
      <c r="L14" s="136">
        <v>0.1</v>
      </c>
      <c r="M14" s="137">
        <f>D14*L14</f>
        <v>1582.5899520000003</v>
      </c>
      <c r="N14" s="136">
        <v>0.1</v>
      </c>
      <c r="O14" s="137">
        <f>D14*N14</f>
        <v>1582.5899520000003</v>
      </c>
      <c r="P14" s="136">
        <v>0.1</v>
      </c>
      <c r="Q14" s="137">
        <f>D14*P14</f>
        <v>1582.5899520000003</v>
      </c>
      <c r="R14" s="136">
        <v>0.35</v>
      </c>
      <c r="S14" s="137">
        <f>D14*R14</f>
        <v>5539.064832</v>
      </c>
      <c r="T14" s="136">
        <v>0.2</v>
      </c>
      <c r="U14" s="137">
        <f t="shared" si="1"/>
        <v>3165.1799040000005</v>
      </c>
      <c r="V14" s="136">
        <v>0.05</v>
      </c>
      <c r="W14" s="137">
        <f>D14*V14</f>
        <v>791.2949760000001</v>
      </c>
      <c r="X14" s="136">
        <v>0.1</v>
      </c>
      <c r="Y14" s="137">
        <f>D14*X14</f>
        <v>1582.5899520000003</v>
      </c>
      <c r="Z14" s="136"/>
      <c r="AA14" s="137"/>
    </row>
    <row r="15" spans="1:27" ht="15">
      <c r="A15" s="133">
        <v>10</v>
      </c>
      <c r="B15" s="134" t="str">
        <f>'PLANILHA QUADRA MODELO 3'!B195</f>
        <v>INSTALAÇÃO ELÉTRICA</v>
      </c>
      <c r="C15" s="135">
        <f>'PLANILHA QUADRA MODELO 3'!G283</f>
        <v>19191.69</v>
      </c>
      <c r="D15" s="135">
        <f>C15*(1+'PLANILHA QUADRA MODELO 3'!C452)</f>
        <v>23582.748672</v>
      </c>
      <c r="E15" s="136">
        <f t="shared" si="0"/>
        <v>0.03348802355255973</v>
      </c>
      <c r="F15" s="136"/>
      <c r="G15" s="137"/>
      <c r="H15" s="136"/>
      <c r="I15" s="137"/>
      <c r="J15" s="136"/>
      <c r="K15" s="137"/>
      <c r="L15" s="136">
        <v>0.1</v>
      </c>
      <c r="M15" s="137">
        <f>D15*L15</f>
        <v>2358.2748672000002</v>
      </c>
      <c r="N15" s="136">
        <v>0.1</v>
      </c>
      <c r="O15" s="137">
        <f>D15*N15</f>
        <v>2358.2748672000002</v>
      </c>
      <c r="P15" s="136">
        <v>0.1</v>
      </c>
      <c r="Q15" s="137">
        <f>D15*P15</f>
        <v>2358.2748672000002</v>
      </c>
      <c r="R15" s="136">
        <v>0.35</v>
      </c>
      <c r="S15" s="137">
        <f>D15*R15</f>
        <v>8253.9620352</v>
      </c>
      <c r="T15" s="136">
        <v>0.2</v>
      </c>
      <c r="U15" s="137">
        <f t="shared" si="1"/>
        <v>4716.5497344000005</v>
      </c>
      <c r="V15" s="136">
        <v>0.05</v>
      </c>
      <c r="W15" s="137">
        <f>D15*V15</f>
        <v>1179.1374336000001</v>
      </c>
      <c r="X15" s="136">
        <v>0.1</v>
      </c>
      <c r="Y15" s="137">
        <f>D15*X15</f>
        <v>2358.2748672000002</v>
      </c>
      <c r="Z15" s="136"/>
      <c r="AA15" s="137"/>
    </row>
    <row r="16" spans="1:27" ht="15">
      <c r="A16" s="133">
        <v>12</v>
      </c>
      <c r="B16" s="134" t="str">
        <f>'PLANILHA QUADRA MODELO 3'!B284</f>
        <v>ESQUADRIAS METÁLICAS</v>
      </c>
      <c r="C16" s="135">
        <f>'PLANILHA QUADRA MODELO 3'!G293</f>
        <v>4709.74</v>
      </c>
      <c r="D16" s="135">
        <f>C16*(1+'PLANILHA QUADRA MODELO 3'!C452)</f>
        <v>5787.328512</v>
      </c>
      <c r="E16" s="136">
        <f t="shared" si="0"/>
        <v>0.008218134205295765</v>
      </c>
      <c r="F16" s="136"/>
      <c r="G16" s="137"/>
      <c r="H16" s="136"/>
      <c r="I16" s="137"/>
      <c r="J16" s="136"/>
      <c r="K16" s="137"/>
      <c r="L16" s="136"/>
      <c r="M16" s="137"/>
      <c r="N16" s="136"/>
      <c r="O16" s="137"/>
      <c r="P16" s="136"/>
      <c r="Q16" s="137"/>
      <c r="R16" s="136"/>
      <c r="S16" s="137"/>
      <c r="T16" s="136">
        <v>0.35</v>
      </c>
      <c r="U16" s="137">
        <f t="shared" si="1"/>
        <v>2025.5649792</v>
      </c>
      <c r="V16" s="136">
        <v>0.35</v>
      </c>
      <c r="W16" s="137">
        <f>D16*V16</f>
        <v>2025.5649792</v>
      </c>
      <c r="X16" s="136">
        <v>0.30000000000000004</v>
      </c>
      <c r="Y16" s="137">
        <f>D16*X16</f>
        <v>1736.1985536000002</v>
      </c>
      <c r="Z16" s="136"/>
      <c r="AA16" s="137"/>
    </row>
    <row r="17" spans="1:27" ht="15">
      <c r="A17" s="133">
        <v>13</v>
      </c>
      <c r="B17" s="134" t="str">
        <f>'PLANILHA QUADRA MODELO 3'!B294</f>
        <v>FERRAGENS</v>
      </c>
      <c r="C17" s="135">
        <f>'PLANILHA QUADRA MODELO 3'!G311</f>
        <v>11819.59</v>
      </c>
      <c r="D17" s="135">
        <f>C17*(1+'PLANILHA QUADRA MODELO 3'!C452)</f>
        <v>14523.912192000002</v>
      </c>
      <c r="E17" s="136">
        <f t="shared" si="0"/>
        <v>0.020624275835093183</v>
      </c>
      <c r="F17" s="136"/>
      <c r="G17" s="137"/>
      <c r="H17" s="136"/>
      <c r="I17" s="137"/>
      <c r="J17" s="136"/>
      <c r="K17" s="137"/>
      <c r="L17" s="136"/>
      <c r="M17" s="137"/>
      <c r="N17" s="136"/>
      <c r="O17" s="137"/>
      <c r="P17" s="136"/>
      <c r="Q17" s="137"/>
      <c r="R17" s="136"/>
      <c r="S17" s="137"/>
      <c r="T17" s="136">
        <v>0.4</v>
      </c>
      <c r="U17" s="137">
        <f t="shared" si="1"/>
        <v>5809.564876800001</v>
      </c>
      <c r="V17" s="136">
        <v>0.6000000000000001</v>
      </c>
      <c r="W17" s="137">
        <f>D17*V17</f>
        <v>8714.347315200002</v>
      </c>
      <c r="X17" s="136"/>
      <c r="Y17" s="137"/>
      <c r="Z17" s="136"/>
      <c r="AA17" s="137"/>
    </row>
    <row r="18" spans="1:27" ht="15">
      <c r="A18" s="133">
        <v>14</v>
      </c>
      <c r="B18" s="134" t="str">
        <f>'PLANILHA QUADRA MODELO 3'!B312</f>
        <v>REVESTIMENTO</v>
      </c>
      <c r="C18" s="135">
        <f>'PLANILHA QUADRA MODELO 3'!G328</f>
        <v>22908.83</v>
      </c>
      <c r="D18" s="135">
        <f>C18*(1+'PLANILHA QUADRA MODELO 3'!C452)</f>
        <v>28150.370304000004</v>
      </c>
      <c r="E18" s="136">
        <f t="shared" si="0"/>
        <v>0.039974147071028504</v>
      </c>
      <c r="F18" s="136"/>
      <c r="G18" s="137"/>
      <c r="H18" s="136"/>
      <c r="I18" s="137"/>
      <c r="J18" s="136"/>
      <c r="K18" s="137"/>
      <c r="L18" s="136"/>
      <c r="M18" s="137"/>
      <c r="N18" s="136"/>
      <c r="O18" s="137"/>
      <c r="P18" s="136">
        <v>0.35</v>
      </c>
      <c r="Q18" s="137">
        <f>D18*P18</f>
        <v>9852.6296064</v>
      </c>
      <c r="R18" s="136">
        <v>0.35</v>
      </c>
      <c r="S18" s="137">
        <f>D18*R18</f>
        <v>9852.6296064</v>
      </c>
      <c r="T18" s="136">
        <v>0.30000000000000004</v>
      </c>
      <c r="U18" s="137">
        <f t="shared" si="1"/>
        <v>8445.111091200002</v>
      </c>
      <c r="V18" s="136"/>
      <c r="W18" s="137"/>
      <c r="X18" s="136"/>
      <c r="Y18" s="137"/>
      <c r="Z18" s="136"/>
      <c r="AA18" s="137"/>
    </row>
    <row r="19" spans="1:27" ht="15">
      <c r="A19" s="133">
        <v>15</v>
      </c>
      <c r="B19" s="134" t="str">
        <f>'PLANILHA QUADRA MODELO 3'!B329</f>
        <v>PISOS E RODAPÉS</v>
      </c>
      <c r="C19" s="135">
        <f>'PLANILHA QUADRA MODELO 3'!G347</f>
        <v>24125.07587776</v>
      </c>
      <c r="D19" s="135">
        <f>C19*(1+'PLANILHA QUADRA MODELO 3'!C452)</f>
        <v>29644.89323859149</v>
      </c>
      <c r="E19" s="136">
        <f t="shared" si="0"/>
        <v>0.042096402620181834</v>
      </c>
      <c r="F19" s="136"/>
      <c r="G19" s="137"/>
      <c r="H19" s="136"/>
      <c r="I19" s="137"/>
      <c r="J19" s="136"/>
      <c r="K19" s="137"/>
      <c r="L19" s="136"/>
      <c r="M19" s="137"/>
      <c r="N19" s="136"/>
      <c r="O19" s="137"/>
      <c r="P19" s="136"/>
      <c r="Q19" s="137"/>
      <c r="R19" s="136">
        <v>0.35</v>
      </c>
      <c r="S19" s="137">
        <f>D19*R19</f>
        <v>10375.71263350702</v>
      </c>
      <c r="T19" s="136">
        <v>0.35</v>
      </c>
      <c r="U19" s="137">
        <f t="shared" si="1"/>
        <v>10375.71263350702</v>
      </c>
      <c r="V19" s="136">
        <v>0.30000000000000004</v>
      </c>
      <c r="W19" s="137">
        <f>D19*V19</f>
        <v>8893.467971577447</v>
      </c>
      <c r="X19" s="136"/>
      <c r="Y19" s="137"/>
      <c r="Z19" s="136"/>
      <c r="AA19" s="137"/>
    </row>
    <row r="20" spans="1:27" ht="15">
      <c r="A20" s="133">
        <v>17</v>
      </c>
      <c r="B20" s="134" t="str">
        <f>'PLANILHA QUADRA MODELO 3'!B348</f>
        <v>PINTURA</v>
      </c>
      <c r="C20" s="135">
        <f>'PLANILHA QUADRA MODELO 3'!G358</f>
        <v>11743.33</v>
      </c>
      <c r="D20" s="135">
        <f>C20*(1+'PLANILHA QUADRA MODELO 3'!C452)</f>
        <v>14430.203904000002</v>
      </c>
      <c r="E20" s="136">
        <f t="shared" si="0"/>
        <v>0.020491207998122173</v>
      </c>
      <c r="F20" s="136"/>
      <c r="G20" s="137"/>
      <c r="H20" s="136"/>
      <c r="I20" s="137"/>
      <c r="J20" s="136"/>
      <c r="K20" s="137"/>
      <c r="L20" s="136"/>
      <c r="M20" s="137"/>
      <c r="N20" s="136"/>
      <c r="O20" s="137"/>
      <c r="P20" s="136"/>
      <c r="Q20" s="137"/>
      <c r="R20" s="136"/>
      <c r="S20" s="137"/>
      <c r="T20" s="136"/>
      <c r="U20" s="137"/>
      <c r="V20" s="136">
        <v>0.1</v>
      </c>
      <c r="W20" s="137">
        <f>D20*V20</f>
        <v>1443.0203904000002</v>
      </c>
      <c r="X20" s="136">
        <v>0.65</v>
      </c>
      <c r="Y20" s="137">
        <f>D20*X20</f>
        <v>9379.632537600002</v>
      </c>
      <c r="Z20" s="136">
        <v>0.25</v>
      </c>
      <c r="AA20" s="137">
        <f>D20*Z20</f>
        <v>3607.5509760000004</v>
      </c>
    </row>
    <row r="21" spans="1:27" ht="30">
      <c r="A21" s="133">
        <v>18</v>
      </c>
      <c r="B21" s="134" t="str">
        <f>'PLANILHA QUADRA MODELO 3'!B359</f>
        <v>BANCADAS, PRATELEIRAS E DIVISÓRIAS</v>
      </c>
      <c r="C21" s="135">
        <f>'PLANILHA QUADRA MODELO 3'!G368</f>
        <v>103.95</v>
      </c>
      <c r="D21" s="135">
        <f>C21*(1+'PLANILHA QUADRA MODELO 3'!C452)</f>
        <v>127.73376000000002</v>
      </c>
      <c r="E21" s="136">
        <f t="shared" si="0"/>
        <v>0.00018138475810564804</v>
      </c>
      <c r="F21" s="136"/>
      <c r="G21" s="137"/>
      <c r="H21" s="136"/>
      <c r="I21" s="137"/>
      <c r="J21" s="136"/>
      <c r="K21" s="137"/>
      <c r="L21" s="136"/>
      <c r="M21" s="137"/>
      <c r="N21" s="136"/>
      <c r="O21" s="137"/>
      <c r="P21" s="136">
        <v>0.5</v>
      </c>
      <c r="Q21" s="137">
        <f>D21*P21</f>
        <v>63.86688000000001</v>
      </c>
      <c r="R21" s="136">
        <v>0.5</v>
      </c>
      <c r="S21" s="137">
        <f>D21*R21</f>
        <v>63.86688000000001</v>
      </c>
      <c r="T21" s="136"/>
      <c r="U21" s="137"/>
      <c r="V21" s="136"/>
      <c r="W21" s="137"/>
      <c r="X21" s="136"/>
      <c r="Y21" s="137"/>
      <c r="Z21" s="136"/>
      <c r="AA21" s="137"/>
    </row>
    <row r="22" spans="1:27" ht="15">
      <c r="A22" s="133">
        <v>20</v>
      </c>
      <c r="B22" s="134" t="str">
        <f>'PLANILHA QUADRA MODELO 3'!B369</f>
        <v>QUADRA</v>
      </c>
      <c r="C22" s="135">
        <f>'PLANILHA QUADRA MODELO 3'!G411</f>
        <v>298281.16000000003</v>
      </c>
      <c r="D22" s="135">
        <f>C22*(1+'PLANILHA QUADRA MODELO 3'!C452)</f>
        <v>366527.88940800005</v>
      </c>
      <c r="E22" s="136">
        <f t="shared" si="0"/>
        <v>0.5204776917178653</v>
      </c>
      <c r="F22" s="136"/>
      <c r="G22" s="137"/>
      <c r="H22" s="136"/>
      <c r="I22" s="137"/>
      <c r="J22" s="136">
        <v>0.01</v>
      </c>
      <c r="K22" s="137">
        <f>D22*J22</f>
        <v>3665.2788940800006</v>
      </c>
      <c r="L22" s="136">
        <v>0.07</v>
      </c>
      <c r="M22" s="137">
        <f>D22*L22</f>
        <v>25656.952258560006</v>
      </c>
      <c r="N22" s="136">
        <v>0.25</v>
      </c>
      <c r="O22" s="137">
        <f>D22*N22</f>
        <v>91631.97235200001</v>
      </c>
      <c r="P22" s="136">
        <v>0.25</v>
      </c>
      <c r="Q22" s="137">
        <f>D22*P22</f>
        <v>91631.97235200001</v>
      </c>
      <c r="R22" s="136">
        <v>0.2</v>
      </c>
      <c r="S22" s="137">
        <f>D22*R22</f>
        <v>73305.57788160001</v>
      </c>
      <c r="T22" s="136">
        <v>0.1</v>
      </c>
      <c r="U22" s="137">
        <f>D22*T22</f>
        <v>36652.788940800005</v>
      </c>
      <c r="V22" s="136">
        <v>0.08</v>
      </c>
      <c r="W22" s="137">
        <f>D22*V22</f>
        <v>29322.231152640004</v>
      </c>
      <c r="X22" s="136">
        <v>0.04</v>
      </c>
      <c r="Y22" s="137">
        <f>D22*X22</f>
        <v>14661.115576320002</v>
      </c>
      <c r="Z22" s="136"/>
      <c r="AA22" s="137"/>
    </row>
    <row r="23" spans="1:27" ht="15">
      <c r="A23" s="133">
        <v>23</v>
      </c>
      <c r="B23" s="134" t="s">
        <v>460</v>
      </c>
      <c r="C23" s="135">
        <f>'PLANILHA QUADRA MODELO 3'!G420</f>
        <v>5232.5599999999995</v>
      </c>
      <c r="D23" s="135">
        <f>C23*(1+'PLANILHA QUADRA MODELO 3'!C452)</f>
        <v>6429.769728</v>
      </c>
      <c r="E23" s="136">
        <f t="shared" si="0"/>
        <v>0.009130414909795955</v>
      </c>
      <c r="F23" s="136"/>
      <c r="G23" s="137"/>
      <c r="H23" s="136"/>
      <c r="I23" s="137"/>
      <c r="J23" s="136"/>
      <c r="K23" s="137"/>
      <c r="L23" s="136">
        <v>0.06</v>
      </c>
      <c r="M23" s="137">
        <f>D23*L23</f>
        <v>385.78618368</v>
      </c>
      <c r="N23" s="136">
        <v>0.06</v>
      </c>
      <c r="O23" s="137">
        <f>D23*N23</f>
        <v>385.78618368</v>
      </c>
      <c r="P23" s="136">
        <v>0.06</v>
      </c>
      <c r="Q23" s="137">
        <f>D23*P23</f>
        <v>385.78618368</v>
      </c>
      <c r="R23" s="136">
        <v>0.06</v>
      </c>
      <c r="S23" s="137">
        <f>D23*R23</f>
        <v>385.78618368</v>
      </c>
      <c r="T23" s="136">
        <v>0.06</v>
      </c>
      <c r="U23" s="137">
        <f>D23*T23</f>
        <v>385.78618368</v>
      </c>
      <c r="V23" s="136">
        <v>0.06</v>
      </c>
      <c r="W23" s="137">
        <f>D23*V23</f>
        <v>385.78618368</v>
      </c>
      <c r="X23" s="136">
        <v>0.06</v>
      </c>
      <c r="Y23" s="137">
        <f>D23*X23</f>
        <v>385.78618368</v>
      </c>
      <c r="Z23" s="136">
        <v>0.58</v>
      </c>
      <c r="AA23" s="137">
        <f>D23*Z23</f>
        <v>3729.26644224</v>
      </c>
    </row>
    <row r="24" spans="1:27" ht="30">
      <c r="A24" s="133">
        <v>24</v>
      </c>
      <c r="B24" s="134" t="s">
        <v>469</v>
      </c>
      <c r="C24" s="135">
        <f>'PLANILHA QUADRA MODELO 3'!G445</f>
        <v>15948.4</v>
      </c>
      <c r="D24" s="135">
        <f>C24*(1+'PLANILHA QUADRA MODELO 3'!C451)</f>
        <v>19924.33612</v>
      </c>
      <c r="E24" s="136">
        <f t="shared" si="0"/>
        <v>0.028292996992665256</v>
      </c>
      <c r="F24" s="136">
        <v>0.5</v>
      </c>
      <c r="G24" s="137">
        <f>D24*F24</f>
        <v>9962.16806</v>
      </c>
      <c r="H24" s="136">
        <v>0.5</v>
      </c>
      <c r="I24" s="137">
        <f>D24*H24</f>
        <v>9962.16806</v>
      </c>
      <c r="J24" s="136"/>
      <c r="K24" s="137"/>
      <c r="L24" s="136"/>
      <c r="M24" s="137"/>
      <c r="N24" s="136"/>
      <c r="O24" s="137"/>
      <c r="P24" s="136"/>
      <c r="Q24" s="137"/>
      <c r="R24" s="136"/>
      <c r="S24" s="137"/>
      <c r="T24" s="136"/>
      <c r="U24" s="137"/>
      <c r="V24" s="136"/>
      <c r="W24" s="137"/>
      <c r="X24" s="136"/>
      <c r="Y24" s="137"/>
      <c r="Z24" s="136"/>
      <c r="AA24" s="137"/>
    </row>
    <row r="25" spans="1:27" ht="15">
      <c r="A25" s="133">
        <v>26</v>
      </c>
      <c r="B25" s="134" t="s">
        <v>491</v>
      </c>
      <c r="C25" s="135">
        <f>'PLANILHA QUADRA MODELO 3'!G449</f>
        <v>140.35</v>
      </c>
      <c r="D25" s="135">
        <f>C25*(1+'PLANILHA QUADRA MODELO 3'!C452)</f>
        <v>172.46208000000001</v>
      </c>
      <c r="E25" s="136">
        <f t="shared" si="0"/>
        <v>0.0002448999595971881</v>
      </c>
      <c r="F25" s="136"/>
      <c r="G25" s="137">
        <f>D25*F25</f>
        <v>0</v>
      </c>
      <c r="H25" s="136"/>
      <c r="I25" s="137">
        <f>D25*H25</f>
        <v>0</v>
      </c>
      <c r="J25" s="136"/>
      <c r="K25" s="137"/>
      <c r="L25" s="136"/>
      <c r="M25" s="137"/>
      <c r="N25" s="136"/>
      <c r="O25" s="137"/>
      <c r="P25" s="136"/>
      <c r="Q25" s="137"/>
      <c r="R25" s="136"/>
      <c r="S25" s="137"/>
      <c r="T25" s="136"/>
      <c r="U25" s="137"/>
      <c r="V25" s="136">
        <v>1</v>
      </c>
      <c r="W25" s="137">
        <f>D25*V25</f>
        <v>172.46208000000001</v>
      </c>
      <c r="X25" s="136"/>
      <c r="Y25" s="137"/>
      <c r="Z25" s="136"/>
      <c r="AA25" s="137"/>
    </row>
    <row r="26" spans="1:28" ht="12.75" customHeight="1">
      <c r="A26" s="190" t="s">
        <v>523</v>
      </c>
      <c r="B26" s="190"/>
      <c r="C26" s="135"/>
      <c r="D26" s="135"/>
      <c r="E26" s="136"/>
      <c r="F26" s="136">
        <f>G26/D27</f>
        <v>0.04361238788843979</v>
      </c>
      <c r="G26" s="137">
        <f>SUM(G7:G25)</f>
        <v>30712.471906400002</v>
      </c>
      <c r="H26" s="136">
        <f>I26/D27</f>
        <v>0.05206341349243537</v>
      </c>
      <c r="I26" s="137">
        <f>SUM(I7:I25)</f>
        <v>36663.80589680001</v>
      </c>
      <c r="J26" s="136">
        <f>K26/D27</f>
        <v>0.07227922861254746</v>
      </c>
      <c r="K26" s="137">
        <f>SUM(K7:K25)</f>
        <v>50900.07416832002</v>
      </c>
      <c r="L26" s="136">
        <f>M26/D27</f>
        <v>0.07361451898855048</v>
      </c>
      <c r="M26" s="137">
        <f>SUM(M7:M25)</f>
        <v>51840.40488960001</v>
      </c>
      <c r="N26" s="136">
        <f>O26/D27</f>
        <v>0.1713879218627673</v>
      </c>
      <c r="O26" s="137">
        <f>SUM(O7:O25)</f>
        <v>120693.84388608002</v>
      </c>
      <c r="P26" s="136">
        <f>Q26/D27</f>
        <v>0.1775160080965205</v>
      </c>
      <c r="Q26" s="137">
        <f>SUM(Q7:Q25)</f>
        <v>125009.33050368002</v>
      </c>
      <c r="R26" s="136">
        <f>S26/D27</f>
        <v>0.1657989262362804</v>
      </c>
      <c r="S26" s="137">
        <f>SUM(S7:S25)</f>
        <v>116757.99264118704</v>
      </c>
      <c r="T26" s="136">
        <f>U26/D27</f>
        <v>0.11439364211881221</v>
      </c>
      <c r="U26" s="137">
        <f>SUM(U7:U25)</f>
        <v>80557.65093238703</v>
      </c>
      <c r="V26" s="136">
        <f>W26/D27</f>
        <v>0.07616773702011838</v>
      </c>
      <c r="W26" s="137">
        <f>SUM(W7:W25)</f>
        <v>53638.41781349745</v>
      </c>
      <c r="X26" s="136">
        <f>Y26/D27</f>
        <v>0.04274777303631596</v>
      </c>
      <c r="Y26" s="137">
        <f>SUM(Y7:Y25)</f>
        <v>30103.597670400006</v>
      </c>
      <c r="Z26" s="136">
        <f>AA26/D27</f>
        <v>0.010418442647212197</v>
      </c>
      <c r="AA26" s="137">
        <f>SUM(AA7:AA25)</f>
        <v>7336.81741824</v>
      </c>
      <c r="AB26" s="139">
        <f>G26+I26+K26+M26+O26+Q26+S26+U26+W26+Y26+AA26</f>
        <v>704214.4077265917</v>
      </c>
    </row>
    <row r="27" spans="1:27" ht="12.75" customHeight="1">
      <c r="A27" s="190" t="s">
        <v>524</v>
      </c>
      <c r="B27" s="190"/>
      <c r="C27" s="140">
        <f>SUM(C7:C25)</f>
        <v>572825.0858777601</v>
      </c>
      <c r="D27" s="140">
        <f>SUM(D7:D25)</f>
        <v>704214.4077265916</v>
      </c>
      <c r="E27" s="141">
        <f>SUM(E7:E26)</f>
        <v>1</v>
      </c>
      <c r="F27" s="141">
        <f>G27/D27</f>
        <v>0.04361238788843979</v>
      </c>
      <c r="G27" s="142">
        <f>G26</f>
        <v>30712.471906400002</v>
      </c>
      <c r="H27" s="141">
        <f>I27/D27</f>
        <v>0.09567580138087516</v>
      </c>
      <c r="I27" s="142">
        <f>G27+I26</f>
        <v>67376.2778032</v>
      </c>
      <c r="J27" s="141">
        <f>K27/D27</f>
        <v>0.1679550299934226</v>
      </c>
      <c r="K27" s="142">
        <f>I27+K26</f>
        <v>118276.35197152002</v>
      </c>
      <c r="L27" s="141">
        <f>M27/D27</f>
        <v>0.24156954898197308</v>
      </c>
      <c r="M27" s="142">
        <f aca="true" t="shared" si="2" ref="M27:Y27">K27+M26</f>
        <v>170116.75686112003</v>
      </c>
      <c r="N27" s="141">
        <f t="shared" si="2"/>
        <v>0.4129574708447404</v>
      </c>
      <c r="O27" s="142">
        <f t="shared" si="2"/>
        <v>290810.6007472001</v>
      </c>
      <c r="P27" s="141">
        <f t="shared" si="2"/>
        <v>0.5904734789412609</v>
      </c>
      <c r="Q27" s="142">
        <f t="shared" si="2"/>
        <v>415819.9312508801</v>
      </c>
      <c r="R27" s="141">
        <f t="shared" si="2"/>
        <v>0.7562724051775414</v>
      </c>
      <c r="S27" s="142">
        <f t="shared" si="2"/>
        <v>532577.9238920672</v>
      </c>
      <c r="T27" s="141">
        <f t="shared" si="2"/>
        <v>0.8706660472963536</v>
      </c>
      <c r="U27" s="142">
        <f t="shared" si="2"/>
        <v>613135.5748244541</v>
      </c>
      <c r="V27" s="141">
        <f t="shared" si="2"/>
        <v>0.9468337843164719</v>
      </c>
      <c r="W27" s="142">
        <f t="shared" si="2"/>
        <v>666773.9926379516</v>
      </c>
      <c r="X27" s="141">
        <f t="shared" si="2"/>
        <v>0.9895815573527879</v>
      </c>
      <c r="Y27" s="142">
        <f t="shared" si="2"/>
        <v>696877.5903083517</v>
      </c>
      <c r="Z27" s="141">
        <f>AA27/D27</f>
        <v>1.0000000000000002</v>
      </c>
      <c r="AA27" s="142">
        <f>Y27+AA26</f>
        <v>704214.4077265917</v>
      </c>
    </row>
    <row r="28" spans="1:27" ht="12.75" customHeight="1">
      <c r="A28" s="188" t="s">
        <v>525</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row>
    <row r="29" spans="1:27" ht="12.75" customHeight="1">
      <c r="A29" s="188" t="s">
        <v>526</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row>
  </sheetData>
  <sheetProtection selectLockedCells="1" selectUnlockedCells="1"/>
  <mergeCells count="26">
    <mergeCell ref="A1:AA1"/>
    <mergeCell ref="B2:I2"/>
    <mergeCell ref="J2:AA2"/>
    <mergeCell ref="B3:I3"/>
    <mergeCell ref="J3:AA3"/>
    <mergeCell ref="B4:AA4"/>
    <mergeCell ref="L5:M5"/>
    <mergeCell ref="N5:O5"/>
    <mergeCell ref="P5:Q5"/>
    <mergeCell ref="R5:S5"/>
    <mergeCell ref="A5:A6"/>
    <mergeCell ref="B5:B6"/>
    <mergeCell ref="C5:C6"/>
    <mergeCell ref="D5:D6"/>
    <mergeCell ref="E5:E6"/>
    <mergeCell ref="F5:G5"/>
    <mergeCell ref="A28:AA28"/>
    <mergeCell ref="A29:AA29"/>
    <mergeCell ref="T5:U5"/>
    <mergeCell ref="V5:W5"/>
    <mergeCell ref="X5:Y5"/>
    <mergeCell ref="Z5:AA5"/>
    <mergeCell ref="A26:B26"/>
    <mergeCell ref="A27:B27"/>
    <mergeCell ref="H5:I5"/>
    <mergeCell ref="J5:K5"/>
  </mergeCells>
  <printOptions/>
  <pageMargins left="0.7875" right="0.7875" top="1.0527777777777778" bottom="1.0527777777777778" header="0.7875" footer="0.7875"/>
  <pageSetup horizontalDpi="300" verticalDpi="300" orientation="portrait" paperSize="9" scale="26"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cp:lastModifiedBy>
  <cp:lastPrinted>2023-03-15T19:59:43Z</cp:lastPrinted>
  <dcterms:created xsi:type="dcterms:W3CDTF">2021-11-19T17:05:17Z</dcterms:created>
  <dcterms:modified xsi:type="dcterms:W3CDTF">2023-06-06T12:22:06Z</dcterms:modified>
  <cp:category/>
  <cp:version/>
  <cp:contentType/>
  <cp:contentStatus/>
</cp:coreProperties>
</file>